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СТРОЙКОНТРОЛЬ\Смоленск\1. Тендеры\8. Тендер 915стар - 1236 новый _ Кровля\документация для тендера №1236 от 15.10.2026\"/>
    </mc:Choice>
  </mc:AlternateContent>
  <xr:revisionPtr revIDLastSave="0" documentId="13_ncr:1_{E8596B70-656A-44A9-BC11-06122D5701D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Лист1 (3)" sheetId="4" r:id="rId1"/>
    <sheet name="Лист1" sheetId="3" r:id="rId2"/>
  </sheets>
  <definedNames>
    <definedName name="_xlnm._FilterDatabase" localSheetId="0" hidden="1">'Лист1 (3)'!$A$9:$E$274</definedName>
    <definedName name="_xlnm.Print_Area" localSheetId="0">'Лист1 (3)'!$A$1:$I$275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34" i="4" l="1"/>
  <c r="D210" i="4"/>
  <c r="D189" i="4"/>
  <c r="D151" i="4"/>
  <c r="D156" i="4"/>
  <c r="D157" i="4"/>
  <c r="D158" i="4"/>
  <c r="D159" i="4"/>
  <c r="D160" i="4"/>
  <c r="D161" i="4"/>
  <c r="D162" i="4"/>
  <c r="D163" i="4"/>
  <c r="D155" i="4"/>
  <c r="D242" i="4"/>
  <c r="D244" i="4"/>
  <c r="D245" i="4"/>
  <c r="D241" i="4"/>
  <c r="D240" i="4"/>
  <c r="D221" i="4"/>
  <c r="D118" i="4"/>
  <c r="D119" i="4"/>
  <c r="D117" i="4"/>
  <c r="D115" i="4"/>
  <c r="D116" i="4"/>
  <c r="D109" i="4"/>
  <c r="D110" i="4"/>
  <c r="D111" i="4"/>
  <c r="D112" i="4"/>
  <c r="D113" i="4"/>
  <c r="D114" i="4"/>
  <c r="D108" i="4"/>
  <c r="D104" i="4"/>
  <c r="D98" i="4"/>
  <c r="D99" i="4"/>
  <c r="D100" i="4"/>
  <c r="D101" i="4"/>
  <c r="D102" i="4"/>
  <c r="D103" i="4"/>
  <c r="D97" i="4"/>
  <c r="D88" i="4"/>
  <c r="D89" i="4"/>
  <c r="D90" i="4"/>
  <c r="D91" i="4"/>
  <c r="D92" i="4"/>
  <c r="D93" i="4"/>
  <c r="D94" i="4"/>
  <c r="D95" i="4"/>
  <c r="D87" i="4"/>
  <c r="D69" i="4"/>
  <c r="D70" i="4"/>
  <c r="D71" i="4"/>
  <c r="D72" i="4"/>
  <c r="D73" i="4"/>
  <c r="D74" i="4"/>
  <c r="D75" i="4"/>
  <c r="D76" i="4"/>
  <c r="D68" i="4"/>
  <c r="D65" i="4"/>
  <c r="G63" i="4"/>
  <c r="D63" i="4" s="1"/>
  <c r="D55" i="4"/>
  <c r="D175" i="4"/>
  <c r="D81" i="4"/>
  <c r="D260" i="4"/>
  <c r="D227" i="4"/>
  <c r="D147" i="4"/>
  <c r="D148" i="4"/>
  <c r="D150" i="4"/>
  <c r="D145" i="4"/>
  <c r="D141" i="4"/>
  <c r="D142" i="4"/>
  <c r="D125" i="4"/>
  <c r="D128" i="4"/>
  <c r="D129" i="4"/>
  <c r="D123" i="4"/>
  <c r="D82" i="4"/>
  <c r="D13" i="4"/>
  <c r="D14" i="4"/>
  <c r="D15" i="4"/>
  <c r="D16" i="4"/>
  <c r="D17" i="4"/>
  <c r="D18" i="4"/>
  <c r="D19" i="4"/>
  <c r="D20" i="4"/>
  <c r="D12" i="4"/>
  <c r="D36" i="4"/>
  <c r="D37" i="4"/>
  <c r="D38" i="4"/>
  <c r="D39" i="4"/>
  <c r="D40" i="4"/>
  <c r="D41" i="4"/>
  <c r="D42" i="4"/>
  <c r="D35" i="4"/>
  <c r="D28" i="4"/>
  <c r="D29" i="4"/>
  <c r="D30" i="4"/>
  <c r="D31" i="4"/>
  <c r="D32" i="4"/>
  <c r="D33" i="4"/>
  <c r="D27" i="4"/>
  <c r="D51" i="4"/>
  <c r="D48" i="4"/>
  <c r="D49" i="4"/>
  <c r="D50" i="4"/>
  <c r="D47" i="4"/>
  <c r="D52" i="4"/>
  <c r="D43" i="4"/>
  <c r="E232" i="4"/>
  <c r="D232" i="4" s="1"/>
  <c r="E228" i="4"/>
  <c r="E229" i="4" s="1"/>
  <c r="D229" i="4" s="1"/>
  <c r="E226" i="4"/>
  <c r="D226" i="4" s="1"/>
  <c r="E223" i="4"/>
  <c r="D223" i="4" s="1"/>
  <c r="E222" i="4"/>
  <c r="E224" i="4" s="1"/>
  <c r="D224" i="4" s="1"/>
  <c r="E197" i="4"/>
  <c r="E200" i="4" s="1"/>
  <c r="D200" i="4" s="1"/>
  <c r="E192" i="4"/>
  <c r="E195" i="4" s="1"/>
  <c r="D195" i="4" s="1"/>
  <c r="E190" i="4"/>
  <c r="D190" i="4" s="1"/>
  <c r="D222" i="4" l="1"/>
  <c r="D192" i="4"/>
  <c r="D228" i="4"/>
  <c r="D197" i="4"/>
  <c r="E231" i="4"/>
  <c r="D231" i="4" s="1"/>
  <c r="E230" i="4"/>
  <c r="D230" i="4" s="1"/>
  <c r="E225" i="4"/>
  <c r="D225" i="4" s="1"/>
  <c r="E203" i="4"/>
  <c r="D203" i="4" s="1"/>
  <c r="D60" i="4"/>
  <c r="E205" i="4" l="1"/>
  <c r="D205" i="4" s="1"/>
  <c r="E237" i="4"/>
  <c r="D237" i="4" s="1"/>
  <c r="F182" i="4"/>
  <c r="H182" i="4"/>
  <c r="E182" i="4"/>
  <c r="E208" i="4" l="1"/>
  <c r="D208" i="4" s="1"/>
  <c r="F149" i="4"/>
  <c r="H149" i="4"/>
  <c r="E149" i="4"/>
  <c r="H146" i="4"/>
  <c r="E146" i="4"/>
  <c r="G144" i="4"/>
  <c r="H134" i="4"/>
  <c r="H135" i="4" s="1"/>
  <c r="G134" i="4"/>
  <c r="G137" i="4" s="1"/>
  <c r="F134" i="4"/>
  <c r="F137" i="4" s="1"/>
  <c r="E134" i="4"/>
  <c r="H131" i="4"/>
  <c r="H139" i="4" s="1"/>
  <c r="G131" i="4"/>
  <c r="G139" i="4" s="1"/>
  <c r="F131" i="4"/>
  <c r="F133" i="4" s="1"/>
  <c r="E131" i="4"/>
  <c r="E133" i="4" s="1"/>
  <c r="F130" i="4"/>
  <c r="G130" i="4"/>
  <c r="H130" i="4"/>
  <c r="E130" i="4"/>
  <c r="G122" i="4"/>
  <c r="D130" i="4" l="1"/>
  <c r="D134" i="4"/>
  <c r="E135" i="4"/>
  <c r="G146" i="4"/>
  <c r="D146" i="4" s="1"/>
  <c r="G182" i="4"/>
  <c r="F139" i="4"/>
  <c r="G149" i="4"/>
  <c r="D149" i="4" s="1"/>
  <c r="G133" i="4"/>
  <c r="H133" i="4"/>
  <c r="E139" i="4"/>
  <c r="D139" i="4" s="1"/>
  <c r="G135" i="4"/>
  <c r="E137" i="4"/>
  <c r="H137" i="4"/>
  <c r="F135" i="4"/>
  <c r="D133" i="4" l="1"/>
  <c r="D135" i="4"/>
  <c r="D137" i="4"/>
  <c r="G173" i="4" l="1"/>
  <c r="D236" i="4"/>
  <c r="D181" i="4"/>
  <c r="H121" i="4"/>
  <c r="G121" i="4"/>
  <c r="F121" i="4"/>
  <c r="E121" i="4"/>
  <c r="E124" i="4"/>
  <c r="G183" i="4"/>
  <c r="E183" i="4"/>
  <c r="E143" i="4"/>
  <c r="G143" i="4"/>
  <c r="H143" i="4"/>
  <c r="F143" i="4"/>
  <c r="E211" i="4"/>
  <c r="D211" i="4" s="1"/>
  <c r="E198" i="4"/>
  <c r="D198" i="4" s="1"/>
  <c r="D143" i="4" l="1"/>
  <c r="D180" i="4"/>
  <c r="D179" i="4"/>
  <c r="D178" i="4"/>
  <c r="D177" i="4"/>
  <c r="E176" i="4"/>
  <c r="E175" i="4"/>
  <c r="E174" i="4"/>
  <c r="D176" i="4"/>
  <c r="D174" i="4"/>
  <c r="D274" i="4"/>
  <c r="D273" i="4"/>
  <c r="D259" i="4"/>
  <c r="E243" i="4"/>
  <c r="D243" i="4" s="1"/>
  <c r="D258" i="4" l="1"/>
  <c r="E173" i="4"/>
  <c r="D272" i="4"/>
  <c r="E196" i="4"/>
  <c r="D196" i="4" s="1"/>
  <c r="E194" i="4"/>
  <c r="D194" i="4" s="1"/>
  <c r="E193" i="4"/>
  <c r="D193" i="4" s="1"/>
  <c r="E191" i="4"/>
  <c r="D191" i="4" s="1"/>
  <c r="D235" i="4"/>
  <c r="E209" i="4"/>
  <c r="D209" i="4" s="1"/>
  <c r="E207" i="4"/>
  <c r="D207" i="4" s="1"/>
  <c r="E206" i="4"/>
  <c r="D206" i="4" s="1"/>
  <c r="E204" i="4"/>
  <c r="D204" i="4" s="1"/>
  <c r="E202" i="4"/>
  <c r="D202" i="4" s="1"/>
  <c r="E201" i="4"/>
  <c r="D201" i="4" s="1"/>
  <c r="E199" i="4"/>
  <c r="D199" i="4" s="1"/>
  <c r="E235" i="4"/>
  <c r="E234" i="4" l="1"/>
  <c r="G187" i="4"/>
  <c r="D61" i="4"/>
  <c r="H175" i="4"/>
  <c r="H173" i="4" l="1"/>
  <c r="G124" i="4" l="1"/>
  <c r="F124" i="4"/>
  <c r="H124" i="4"/>
  <c r="F140" i="4"/>
  <c r="G140" i="4"/>
  <c r="H140" i="4"/>
  <c r="E140" i="4"/>
  <c r="D140" i="4" s="1"/>
  <c r="E138" i="4"/>
  <c r="F138" i="4"/>
  <c r="G138" i="4"/>
  <c r="H138" i="4"/>
  <c r="F136" i="4"/>
  <c r="G136" i="4"/>
  <c r="H136" i="4"/>
  <c r="E136" i="4"/>
  <c r="F127" i="4"/>
  <c r="G127" i="4"/>
  <c r="H127" i="4"/>
  <c r="E127" i="4"/>
  <c r="D127" i="4" s="1"/>
  <c r="F126" i="4"/>
  <c r="G126" i="4"/>
  <c r="H126" i="4"/>
  <c r="E126" i="4"/>
  <c r="D268" i="4"/>
  <c r="D266" i="4"/>
  <c r="D265" i="4"/>
  <c r="D263" i="4"/>
  <c r="D257" i="4"/>
  <c r="D256" i="4"/>
  <c r="D254" i="4"/>
  <c r="D251" i="4"/>
  <c r="D249" i="4"/>
  <c r="D80" i="4"/>
  <c r="D126" i="4" l="1"/>
  <c r="D138" i="4"/>
  <c r="D136" i="4"/>
  <c r="D124" i="4"/>
</calcChain>
</file>

<file path=xl/sharedStrings.xml><?xml version="1.0" encoding="utf-8"?>
<sst xmlns="http://schemas.openxmlformats.org/spreadsheetml/2006/main" count="626" uniqueCount="287">
  <si>
    <t>м3</t>
  </si>
  <si>
    <t>№ п/п</t>
  </si>
  <si>
    <t>Наименование</t>
  </si>
  <si>
    <t>Ед. изм.</t>
  </si>
  <si>
    <t>Кол-во</t>
  </si>
  <si>
    <t>Основание:</t>
  </si>
  <si>
    <t>Объект: «Семейный физкультурно-оздоровительный комплекс «Термолэнд-Дельфин» по адресу: г. Смоленск, ул. Кутузова, д. 2Г</t>
  </si>
  <si>
    <t>Ведомость объемов работ (ВОР)</t>
  </si>
  <si>
    <t>2.</t>
  </si>
  <si>
    <t>3.</t>
  </si>
  <si>
    <t>1.</t>
  </si>
  <si>
    <t>4.</t>
  </si>
  <si>
    <t>2.2.</t>
  </si>
  <si>
    <t>2.3.</t>
  </si>
  <si>
    <t>1</t>
  </si>
  <si>
    <t>2.1.</t>
  </si>
  <si>
    <t>3.1.</t>
  </si>
  <si>
    <t>3.2.</t>
  </si>
  <si>
    <t>на выполнение работ по устройству кровельного покрытия здания.</t>
  </si>
  <si>
    <t>Устройство кровли.</t>
  </si>
  <si>
    <t>м2</t>
  </si>
  <si>
    <t>1.1.</t>
  </si>
  <si>
    <t>1.2.</t>
  </si>
  <si>
    <t>Укладка теплоизоляции из минераловатных плит 2 сл.</t>
  </si>
  <si>
    <t>1.3.</t>
  </si>
  <si>
    <t>кг</t>
  </si>
  <si>
    <t>Пленка полиэтиленовая 200 мкр.</t>
  </si>
  <si>
    <t xml:space="preserve"> Унифлекс Вент ЭПВ" толщиной 3,0/3,7 мм</t>
  </si>
  <si>
    <t>Устройство цементно -песчаной армированной стяжки толщ. 50 мм</t>
  </si>
  <si>
    <t>Техноэласт Пламя СТОП толщ. 4,2 мм</t>
  </si>
  <si>
    <t>3.3.</t>
  </si>
  <si>
    <t>3.4.</t>
  </si>
  <si>
    <t>3.5.</t>
  </si>
  <si>
    <t>3.6.</t>
  </si>
  <si>
    <t>4.1.</t>
  </si>
  <si>
    <t>Устройство уклонообразующего слоя из керамзитобетона по уклону толщ от 50 до 200 мм</t>
  </si>
  <si>
    <t>4.2.</t>
  </si>
  <si>
    <t>4.3.</t>
  </si>
  <si>
    <t>4.4.</t>
  </si>
  <si>
    <t>4.5.</t>
  </si>
  <si>
    <t>4.6.</t>
  </si>
  <si>
    <t>4.7.</t>
  </si>
  <si>
    <t>3.7.</t>
  </si>
  <si>
    <t>Устройство кровли тип ПН 1.2 ( кровля по фермам контруклон), RE 15</t>
  </si>
  <si>
    <t>Устройство кровли тип ПН 3 (эксплуатируемая кровля по ж/б плите), RE45</t>
  </si>
  <si>
    <t>5.</t>
  </si>
  <si>
    <t>5.1.</t>
  </si>
  <si>
    <t>5.2.</t>
  </si>
  <si>
    <t>5.3.</t>
  </si>
  <si>
    <t>3.8.</t>
  </si>
  <si>
    <t>Устройство кровель плоских из наплавляемых материалов в два слоя (Унифлекс Вент ЭПВ" толщиной 3,0/3,7 мм, Техноэласт Пламя СТОП толщ. 4,2 мм)</t>
  </si>
  <si>
    <t xml:space="preserve">ПВХ мембрана LOGICROOF V-RP с мех креплением дюбелями </t>
  </si>
  <si>
    <t>Укладка мембраны 1 сл.с мех креплением дюбелями (узел Технониколь) или аналог</t>
  </si>
  <si>
    <t>шт</t>
  </si>
  <si>
    <t>Укладка пароизоляции с проклеиванием в 1 сл. ( с применением скотча)</t>
  </si>
  <si>
    <t>1 сл. Техноруф Н Проф" (g=100 кг/м3) или аналог толщ. 100 мм, S-974,4 м2</t>
  </si>
  <si>
    <t>ПВХ мембрана "LOGICROOF V-RP" с системой механического крепления в 1 слой</t>
  </si>
  <si>
    <t>пм</t>
  </si>
  <si>
    <t>Жидкий ПВХ</t>
  </si>
  <si>
    <t xml:space="preserve">Устройство цементно -песчаной армированной стяжки толщ. 50 мм, S- 868,72 м2 </t>
  </si>
  <si>
    <t>Цементно-песчаный раствор толщ 50 мм, М150</t>
  </si>
  <si>
    <t xml:space="preserve">Сетка дорожная 5Вр-1 100*100 мм, вес 1м2- 2,75 кг, ГОСТ 26633-2015, </t>
  </si>
  <si>
    <t>Огрунтовка по цементно-песчаной стяжки в 1 слой</t>
  </si>
  <si>
    <t xml:space="preserve"> Праймер Технониколь №8, расход 0,225 кг/м2</t>
  </si>
  <si>
    <t>Устройство кровли тип ПН 2 (не эксплуатируемая кровля по ж/б плите), RE45 (узел Технониколь)</t>
  </si>
  <si>
    <t>м2/м3</t>
  </si>
  <si>
    <t>Керамзитобетон</t>
  </si>
  <si>
    <t>Укладка теплоизоляции из минераловатных плит 2 слоя на S-868,72 м2</t>
  </si>
  <si>
    <t>Сетка дорожная 5Вр-1 100*100 мм, вес 1м2- 2,75 кг</t>
  </si>
  <si>
    <t>Огрунтовка цементно-песчаной стяжки в 1 слой</t>
  </si>
  <si>
    <t>Укладка утеплителя V-203,28 м3 в 2 сл. и дренажной мембраны</t>
  </si>
  <si>
    <t>Щебень гравийный (фр. 5-10 мм)</t>
  </si>
  <si>
    <t>Укладка балласта из гравия толщ 210 мм, S-1016,4 м2</t>
  </si>
  <si>
    <t>Цементно-песчаный раствор, М150</t>
  </si>
  <si>
    <t>Устройство армированного основания из ЦПС толщ 50 мм</t>
  </si>
  <si>
    <t>Укладка мембраны "LOGICROOF V-RP" в 1 слой</t>
  </si>
  <si>
    <t>мембраны "LOGICROOF V-RP"</t>
  </si>
  <si>
    <t>Террасная доска  из ДПК (вельвет), цвет бежевый</t>
  </si>
  <si>
    <t xml:space="preserve">Технобарьер </t>
  </si>
  <si>
    <t>Укладка пароизоляции  в 1 слой.</t>
  </si>
  <si>
    <t>Устройство армированной цеметно-песчанной стяжки</t>
  </si>
  <si>
    <t>Грунтовка  -Праймер №08, расход 1м2-0,225 кг</t>
  </si>
  <si>
    <t>Нанесение праймера в 1 слой</t>
  </si>
  <si>
    <t>5.4.</t>
  </si>
  <si>
    <t>Укладка гидроизоляционного ковра в 2 слоя</t>
  </si>
  <si>
    <t>1 сл. Унифлекс Вент ЭПВ" -3,0/3,7 мм, Технониколь</t>
  </si>
  <si>
    <t>2 сл."Техноэласт Пламя СТОП- 4,2 мм, Технониколь</t>
  </si>
  <si>
    <t>козырек над входом №1 (К1)</t>
  </si>
  <si>
    <t>козырек над входом №2 (К2)</t>
  </si>
  <si>
    <t>5.5.</t>
  </si>
  <si>
    <t>5.6.</t>
  </si>
  <si>
    <t>5.7.</t>
  </si>
  <si>
    <t>5.8.</t>
  </si>
  <si>
    <t>1.4.</t>
  </si>
  <si>
    <t>Установка компенсатора из оцин. стали толщ. 0,7 мм, ГОСТ Р 51571-2000, Технониколь</t>
  </si>
  <si>
    <t>Устройство кровли тип ПН 1.1 (основная кровля по фермам), RE 15, узлы Технониколь</t>
  </si>
  <si>
    <t>42,98/3,22</t>
  </si>
  <si>
    <t>Укладка террасной доски из ДПК , разм. 152*28 мм с креплением в комплекте  (в т.ч. алюминиевые лаги, кляймеры, регулируемые опоры, вершины, резиновые подкладки под опоры, ЦПС толщ 40 мм, равнополочный уголок и соединитель для алюм. лаги)</t>
  </si>
  <si>
    <t>Укладка пароизоляции с проклеиванием в 1 сл. (с применением скотча)</t>
  </si>
  <si>
    <t xml:space="preserve">Козырьки тип ПН4, RE 15 </t>
  </si>
  <si>
    <t>5.9.</t>
  </si>
  <si>
    <t>1.5.</t>
  </si>
  <si>
    <t>Монтаж фасонных изделий</t>
  </si>
  <si>
    <t>2.4.</t>
  </si>
  <si>
    <t>4.8.</t>
  </si>
  <si>
    <t>Монтаж фасонных элементов</t>
  </si>
  <si>
    <t xml:space="preserve">Устройство деформационных швов </t>
  </si>
  <si>
    <t>2.5.</t>
  </si>
  <si>
    <t>Алюминиевая лага HILST PRO 60*40*4000 мм</t>
  </si>
  <si>
    <t>Кляймер HILST FIX prof 3D start</t>
  </si>
  <si>
    <t xml:space="preserve">Кляймер HILST FIX prof 3D </t>
  </si>
  <si>
    <t>Регулируемая опора HILST LIFT self-leveling (35-530 мм)</t>
  </si>
  <si>
    <t>Вершина для алюминиевой лаги</t>
  </si>
  <si>
    <t>Резиновая подкладка HILST под основание опоры</t>
  </si>
  <si>
    <t>Цементно-песчаная стяжка -40 мм</t>
  </si>
  <si>
    <t>Равнополочный уголок HILST 56*56 мм</t>
  </si>
  <si>
    <t>5.10.</t>
  </si>
  <si>
    <t>3.9.</t>
  </si>
  <si>
    <t xml:space="preserve">Грунтовка  -Праймер №08, расход 1м2-0,225 кг, Технониколь </t>
  </si>
  <si>
    <t>Компенсатор из. Оц. стали шир. 500 мм, толщ. 0,7 мм, RAL 7035</t>
  </si>
  <si>
    <t>Керамзитовый гравий, S-868,72 м2,</t>
  </si>
  <si>
    <t>Фартук из ПВХ мембраны - "LOGICROOF V-RP", дл. -58,4 пм</t>
  </si>
  <si>
    <t>Укладка мембраны 1 сл.  с мех креплением дюбелями (узел Технониколь)  (система механического крепления в один слой)</t>
  </si>
  <si>
    <t>1 сл. Техноруф Н Проф" (g=100 кг/м3)  толщ. 100 мм</t>
  </si>
  <si>
    <t xml:space="preserve">2 сл."Техноруф В Экстра" (g=170 кг/м3) толщ. 100 мм, </t>
  </si>
  <si>
    <t>Паробарьер СФ1000</t>
  </si>
  <si>
    <t>2 сл."Техноруф В Экстра" (g=170 кг/м3) толщ. 50 мм</t>
  </si>
  <si>
    <t>клиновидная изоляция Техноруф Н Проф Клин" (g=120 кг/м3)  по уклону толщ 55-80 мм</t>
  </si>
  <si>
    <t>2 сл."Техноруф В Экстра" (g=170 кг/м3) толщ. 100 мм</t>
  </si>
  <si>
    <t xml:space="preserve"> ГИ нижний слой "Техноэласт фундамент" толщ. 4 мм </t>
  </si>
  <si>
    <t xml:space="preserve"> ГИ вехний слой "Техноэласт фундамент" толщ. 4 мм </t>
  </si>
  <si>
    <t>Профилированная  дренажная мембрана "PLANTER geo" в 1 слой</t>
  </si>
  <si>
    <t xml:space="preserve">Паробарьер СФ1000 </t>
  </si>
  <si>
    <t>Устройство уклонообразующего слоя из керамзитового гравия от 50 до 200 мм</t>
  </si>
  <si>
    <t>Монтаж фасонных изделий парапетов</t>
  </si>
  <si>
    <t>1.6.</t>
  </si>
  <si>
    <t>блок 2</t>
  </si>
  <si>
    <t>блок 3</t>
  </si>
  <si>
    <t>итого</t>
  </si>
  <si>
    <t>Телескопический крепежный элемент с сверлоконечный саморез Д4,8*35 мм</t>
  </si>
  <si>
    <t>Двусторонняя самоклееющаяся лента шириной 200 мм</t>
  </si>
  <si>
    <t>Кровельная мастика</t>
  </si>
  <si>
    <t>Герметик Технониколь ПУ</t>
  </si>
  <si>
    <t xml:space="preserve">ПВХ дорожка кровельная LOGICROOF Walkway Puzzle 600*600 мм (противопожарная) </t>
  </si>
  <si>
    <t>м2/шт</t>
  </si>
  <si>
    <t>ПВХ дорожка кровельная LOGICROOF Walkway Puzzle 600*600 мм</t>
  </si>
  <si>
    <t>Устройство кровельных дорожек</t>
  </si>
  <si>
    <t>2.6.</t>
  </si>
  <si>
    <t>уп.</t>
  </si>
  <si>
    <t>Клей контактный</t>
  </si>
  <si>
    <t>3</t>
  </si>
  <si>
    <t>2</t>
  </si>
  <si>
    <t>4</t>
  </si>
  <si>
    <t>11</t>
  </si>
  <si>
    <t>Устройство кровельных дорожек. (Приваривание феном между собой и основания к мембране)</t>
  </si>
  <si>
    <t>12</t>
  </si>
  <si>
    <t>блок 4</t>
  </si>
  <si>
    <t>блок 1</t>
  </si>
  <si>
    <t>Изготовление и монтаж парапетных крышек из листовой стали толщ 0,7 мм</t>
  </si>
  <si>
    <t>Металлическая рейка в шве Termoclip</t>
  </si>
  <si>
    <t>887,25/110,91</t>
  </si>
  <si>
    <t>ЦП молочко</t>
  </si>
  <si>
    <t>Укладка полиэтиленовой пленки 1 слой</t>
  </si>
  <si>
    <t>Саморез сверлоконечный Д4,8*35 мм с телескопическим крепежом для рейки в шве (дюбель)</t>
  </si>
  <si>
    <t>Саморез сверлоконечный Д4,8*60 мм с телескопическим крепежом для прижимной  рейки в шве (дюбель)</t>
  </si>
  <si>
    <t>Фланец из ПВХ 454*244 мм (RAL 9002)</t>
  </si>
  <si>
    <t>Труба водосточная из ПВХ Д100 мм (RAL 9002)</t>
  </si>
  <si>
    <t>Крюк крепления для трубы из ПВХ (RAL 9002) с дюбедем - гвоздем по бетону 6*60 мм</t>
  </si>
  <si>
    <t>Герметик влагостойкий прозрачный. 310 мл</t>
  </si>
  <si>
    <t>250,01/695</t>
  </si>
  <si>
    <t>83,87/233</t>
  </si>
  <si>
    <t>333,88/928</t>
  </si>
  <si>
    <t>Двухсторонняя самоклеющая лента  шириной 100 мм</t>
  </si>
  <si>
    <t>Уголок из оц. стали толщ. 0,7 мм, сечение 330*300 мм</t>
  </si>
  <si>
    <t>Краевая рейка Технониколь</t>
  </si>
  <si>
    <t>Саморезы для краевой рейки с шагом 200 мм</t>
  </si>
  <si>
    <t>Герметик  Технониколь ПУ</t>
  </si>
  <si>
    <t>Неармированная полимерная мембрана "LOGICROOF V-SR", 1,5 мм, шириной 800 мм</t>
  </si>
  <si>
    <t>Металлическая полоса с ПВХ-покрытием</t>
  </si>
  <si>
    <t xml:space="preserve">Уголок из  оц. стали толщ. 0,7 мм </t>
  </si>
  <si>
    <t>Дюбель-гвоздь по бетону 6*60 мм, вес -1,08 кг</t>
  </si>
  <si>
    <t>Паробарьер СА500</t>
  </si>
  <si>
    <t>"XPS ТЕХНОНИКОЛЬ CARBON PROF" толщ 100 мм+ 100 мм</t>
  </si>
  <si>
    <t>Соединитель для алюминиевой лаги HILST Connector 3D PRO -139,2 пм</t>
  </si>
  <si>
    <t>3.10</t>
  </si>
  <si>
    <t>Оцинкованная сталь толщ. 0,7 мм, RAL 7035, ГОСТ 1491880*, вес 5,7 кг/м2. развертка 534*79610 мм, 27 шт изделий, п. 2</t>
  </si>
  <si>
    <t>Оцинкованная сталь толщ. 0,7 мм, RAL 9002, ГОСТ 1491880*, вес 5,7 кг/м2, пункт 5, 560*38500 мм</t>
  </si>
  <si>
    <t>Утеплитель- каменная вата, плотность 75кг/м3, шир. 50 мм</t>
  </si>
  <si>
    <t>Профиль деформационных швов (на стены, угловой, под штукатурку с последующей под штукатурку с последующей финишной отделкой)     По типу ПВХ V-образный Bella-Plast 10х10 мм</t>
  </si>
  <si>
    <t>Дополнительный кровельный ковер "LOGICROOF V-RP" в 1 слой</t>
  </si>
  <si>
    <t>Контактный клей "LOGICROOF 5 BOND"</t>
  </si>
  <si>
    <t xml:space="preserve">Установка фасонных элементов </t>
  </si>
  <si>
    <t>4.9.</t>
  </si>
  <si>
    <t>Утеплитель Техноруф Проф толщ 70 мм, шир. 500 мм, плотность -140-160 кг/м3</t>
  </si>
  <si>
    <t>ПВХ мембрана LOGICROOF V-RP 1,5 мм, расход 0,5м2/мп</t>
  </si>
  <si>
    <t>Саморез сверлоконечный Д4,2*25 мм, 12 шт/пм</t>
  </si>
  <si>
    <t>Герметик Технониколь ПУ, 0,25 пм/600 мл</t>
  </si>
  <si>
    <t>Изделия оцинкованные сталь ФИ -Кр-кз толщ. 0,7 мм, RAL 9002, ГОСТ 1491880*, вес 5,7 кг/м2, 260*42120 мм</t>
  </si>
  <si>
    <t>Устройство горизонтальных деформационных швов в ПН-3</t>
  </si>
  <si>
    <t>ФИ-ПТ-ДШ развертка 300 мм, длиной 8080 мм, оцинков. сталь
t=0.7, цвет (RAL 9002) с креплением на саморезы шаг 300 мм</t>
  </si>
  <si>
    <t>Изделия оцинкованные сталь  ФИ-Уг-ДШ толщ. 0,7 мм, RAL 9002, ГОСТ 1491880*, вес 5,7 кг/м2,  RAL 9002, 740*32320 мм</t>
  </si>
  <si>
    <t>Изделия оцинкованные сталь  ФИ-Уг-ДШ толщ. 0,7 мм, RAL 9002, ГОСТ 1491880*, вес 5,7 кг/м2,  RAL 9002, 630*32320 мм</t>
  </si>
  <si>
    <t>Изделия оцинкованные сталь  ФИ-В-ДШ толщ. 0,7 мм, RAL 9002, ГОСТ 1491880*, вес 5,7 кг/м2,  RAL 9002, 480*2800 мм</t>
  </si>
  <si>
    <t>Изделия оцинкованные сталь ФИ-УГ-ВШ толщ. 0,7 мм, RAL 7035, ГОСТ 1491880*, вес 5,7 кг/м2, 630*22350 мм</t>
  </si>
  <si>
    <t>Изделия оцинкованные сталь ФИ-ВШ-Кр, толщ. 0,7 мм, RAL 9002, ГОСТ 1491880*, вес 5,7 кг/м2, 690*31840 мм</t>
  </si>
  <si>
    <t>Изделия оцинкованные сталь ФИ-ВШ-Кр, толщ. 0,7 мм, RAL 9002, ГОСТ 1491880*, вес 5,7 кг/м2, 335*36020 мм</t>
  </si>
  <si>
    <t>Изделия оцинкованные сталь ФИ-ВШ-Кр, толщ. 0,7 мм, RAL 9002, ГОСТ 1491880*, вес 5,7 кг/м2, 360*25950 мм</t>
  </si>
  <si>
    <t>Изделия оцинкованные сталь ФИ-ВШ-Кр, толщ. 0,7 мм, RAL 9002, ГОСТ 1491880*, вес 5,7 кг/м2, 540*6390 мм</t>
  </si>
  <si>
    <t>Изделия оцинкованные сталь ФИ-ВШ-Кр, толщ. 0,7 мм, RAL 9002, ГОСТ 1491880*, вес 5,7 кг/м2, 300*1700  мм</t>
  </si>
  <si>
    <t>Изделия оцинкованные сталь ФИ-ВШ-Кр, толщ. 0,7 мм, RAL 9002, ГОСТ 1491880*, вес 5,7 кг/м2, 1080*13090  мм</t>
  </si>
  <si>
    <t>Изделия оцинкованные сталь  ФИ-Пт толщ. 0,7 мм, RAL 9002, ГОСТ 1491880*, вес 5,7 кг/м2,  RAL 9002, 560*37390 мм</t>
  </si>
  <si>
    <t>Изделия оцинкованные сталь  ФИ-Пт толщ. 0,7 мм, RAL 9002, ГОСТ 1491880*, вес 5,7 кг/м2,  RAL 9002, 600*206740 мм (70 пм)</t>
  </si>
  <si>
    <t>Изделия оцинкованные сталь  ФИ-Пт толщ. 0,7 мм, RAL 9002, ГОСТ 1491880*, вес 5,7 кг/м2,  RAL 9002, 600*206740 мм (136 пм)</t>
  </si>
  <si>
    <t xml:space="preserve">Изделия оцинкованные сталь  ФИ-Пт толщ. 0,7 мм, RAL 9002, ГОСТ 1491880*, вес 5,7 кг/м2,  RAL 9002, 700*215730 мм </t>
  </si>
  <si>
    <t>отметка кровли</t>
  </si>
  <si>
    <t>отметка парапета</t>
  </si>
  <si>
    <t>Устройство узла примыкания к сэндвич панелей из уголка оц. Стали и прижимной рейки</t>
  </si>
  <si>
    <t>Жидкий ПВХ  для герметизации узла водосточных воронок</t>
  </si>
  <si>
    <t>Фартук из ПВХ мембраны ( 98,5 пм) для герметизации узла водосточных воронок</t>
  </si>
  <si>
    <t>примыкание 2: блок 2 -по оси 7 и  оси Т, блок 3 -по оси 8 и ось У (узел 11)</t>
  </si>
  <si>
    <t>Устройство примыканий к сэндвич-панелям ( блок 2- по оси А-520 мм, по оси 12, блок 3 -по оси ВА -850 мм, по оси 13, примыкание 1 - узел 9</t>
  </si>
  <si>
    <t>Рейка прижимная алюминиевая , выс 100 мм крепится саморезом сверлоконечным Д5,5*35 мм шаг 400 мм</t>
  </si>
  <si>
    <t>саморез сверлоконечным Д5,5*35 мм шаг 400 мм</t>
  </si>
  <si>
    <t>саморез сверлоконечным  4,8*60 мм</t>
  </si>
  <si>
    <t>Металлическая рейка в шве Termoclip, высотой 50 мм крепится саморезом  сверлоконечным  4,8*60 мм с шагом 200 мм</t>
  </si>
  <si>
    <t>Утеплитель Техноруф Проф толщ 70 мм, шир. 500 мм, плотность -140-160 кг/м3 крепится саморезом сверлоконечным 4,2*25 мм шаг 400 мм</t>
  </si>
  <si>
    <t xml:space="preserve">саморезом сверлоконечным 4,2*25 мм </t>
  </si>
  <si>
    <t>полоса из Паробарьера СА 500, шир. 500 мм (59,5 пм)</t>
  </si>
  <si>
    <t>высота</t>
  </si>
  <si>
    <t>зачиканка мин ватой  толщ 100 мм плотностью  не менее 100 кг/м3</t>
  </si>
  <si>
    <t>Утеплитель негорючий толщ. 100 мм, шир 250 мм</t>
  </si>
  <si>
    <t>Уголок из. Оц. Стали толщ. 0,7 мм,  S-58,5 м2 крепится саморезом сверлоконечным 4,2*25 мм шаг 400 мм</t>
  </si>
  <si>
    <t>саморез сверлоконечным 4,2*25 мм шаг 400 мм</t>
  </si>
  <si>
    <t>саморез сверлоконечным Д4,2*25 мм шаг 200 мм для крепления фассонных элементов</t>
  </si>
  <si>
    <t xml:space="preserve">Узлы примыканий к сэндвич-панелям </t>
  </si>
  <si>
    <t>тип ПН1.1</t>
  </si>
  <si>
    <t>тип ПН1.2</t>
  </si>
  <si>
    <t>II.</t>
  </si>
  <si>
    <t>I.</t>
  </si>
  <si>
    <t>компенсатор из оцинкованной стали  шир 400 мм (верх)</t>
  </si>
  <si>
    <t xml:space="preserve"> фартук из оцинкованной стали шир. 400 мм (верх)</t>
  </si>
  <si>
    <t>Устройство примыканий к сэндвич-панелям ( блок 2- по оси А-520 мм, по оси 12, блок 3 -по оси ВА -850 мм, по оси 13</t>
  </si>
  <si>
    <t xml:space="preserve">примыкание 2: блок 2 -по оси 7, блок 3 -по оси 8 </t>
  </si>
  <si>
    <t>высота парапета</t>
  </si>
  <si>
    <t>Телескопический крепежный элемент с сверлоконечный саморез с прессшайбой Д4,8*60 мм</t>
  </si>
  <si>
    <t>Заделка воронок водостока</t>
  </si>
  <si>
    <t>Парапетная воронка с угловым отводом VC-PVC 100*100*650 мм из ПВХ морозостойкая (RAL 9002)</t>
  </si>
  <si>
    <t>Слив трубы из ПВХ 60гр., Д100 (RAL 9002)</t>
  </si>
  <si>
    <t>Отвод из ПВХ 90 гр, Д100 мм (RAL 9002)</t>
  </si>
  <si>
    <t>Листоуловитель из ПВХ   (RAL 9002)</t>
  </si>
  <si>
    <t>Техноруф Н Проф" (g=100 кг/м3)  толщ. 100 мм, S- 128,34 м2 с крепление саморезом</t>
  </si>
  <si>
    <t>наружный водосток на блоке 2</t>
  </si>
  <si>
    <t xml:space="preserve">Узлы примыкания кровельного пирога к ж/б парапету </t>
  </si>
  <si>
    <t>Примыкание кровли к сэндвич-панелям</t>
  </si>
  <si>
    <t>Рейка прижимная алюминиевая  с саморезом сверлоконечным  Д4,8*35 мм с телескопическим крепежом шаг 400 мм</t>
  </si>
  <si>
    <t>Противопожарный защитный материал LOGICROOF V-RP NG 300 мм c устройством сварного шва толщ. 10 мм</t>
  </si>
  <si>
    <t>Противопожарный защитный материал LOGICROOF V-RP NG 300 мм с устройством сварного шва толщ 10 мм</t>
  </si>
  <si>
    <t xml:space="preserve"> сварной шов толщ 10 мм</t>
  </si>
  <si>
    <t xml:space="preserve">Устройство кровель плоских из наплавляемых материалов: в 2 слоя (Техноэласт фундамент толщиной по 4 мм верхний и нижний слой </t>
  </si>
  <si>
    <t>саморез сверлоконечным Д4,8*50 мм шаг 200 мм с анкерным элементом 8*45 для крепления фассонных элементов</t>
  </si>
  <si>
    <r>
      <t>Изделия оцинкованные сталь толщ.</t>
    </r>
    <r>
      <rPr>
        <sz val="10"/>
        <rFont val="Arial"/>
        <family val="2"/>
        <charset val="204"/>
      </rPr>
      <t xml:space="preserve"> 4,0</t>
    </r>
    <r>
      <rPr>
        <sz val="10"/>
        <color theme="1"/>
        <rFont val="Arial"/>
        <family val="2"/>
        <charset val="204"/>
      </rPr>
      <t xml:space="preserve"> мм, RAL 7035, ГОСТ 1491880*, вес 31,4 кг/м2, RAL 7035, 800* х800* 247 шт</t>
    </r>
  </si>
  <si>
    <t>1.7.</t>
  </si>
  <si>
    <t>Монтаж Утеплитель Техноруф Проф толщ 70 мм, шир. 500 мм, плотность -140-160 кг/м3 крепится саморезом сверлоконечным 4,2*25 мм шаг 400 мм</t>
  </si>
  <si>
    <t>Горизонтальное примыкание</t>
  </si>
  <si>
    <t>Вертикальное примыкание</t>
  </si>
  <si>
    <t>Монтаж Утеплитель негорючий толщ. 100 мм, шир 250 мм</t>
  </si>
  <si>
    <t xml:space="preserve">компенсатор из оцинков. Стали - 0,5*16,25 м (поддержка) </t>
  </si>
  <si>
    <t>тип ПН2</t>
  </si>
  <si>
    <t>тип ПН3</t>
  </si>
  <si>
    <t>парапет типа 1, высотой 0,9 м</t>
  </si>
  <si>
    <t>завод на парапет  тип 1</t>
  </si>
  <si>
    <t>Герметик Технониколь ПУ выс 0,3 м</t>
  </si>
  <si>
    <t>Вертозащитная пленка</t>
  </si>
  <si>
    <t>Утеплитель - мин плита "Rockwool" фасад баттс оптима толщ 100 мм</t>
  </si>
  <si>
    <t xml:space="preserve">Техноруф Н Проф толщ. 100 мм </t>
  </si>
  <si>
    <t>парапет тип 2, высотой 5,48 м</t>
  </si>
  <si>
    <t>Крепежный элемент 2-х сторонний (костыль) шириной 700 мм с креплением саморезами остроконечными 4,8*50 мм с анкерным элементом 8*45 мм (смотри строку 248)</t>
  </si>
  <si>
    <t>мембрана Logicroof V-RP приверивается сварным швом 30 мм, прижимается саморезами 4,8*50 с анкерными элементом 8*45 мм, шаг 200 мм, прижим через полосу</t>
  </si>
  <si>
    <t>Рейка прижимная алюминиевая</t>
  </si>
  <si>
    <t>Изделие оцинкованное ФИ-Кр-кз, п. 13, сталь толщ. 0,7 мм, RAL 9002, ГОСТ 1491880*, вес 5,7 кг/м2, 260* 8100 мм, отлив карнизный</t>
  </si>
  <si>
    <t>Изделие оцинкованное ФИ-Кр-кз, п. 14, сталь толщ. 0,7 мм, RAL 9002, ГОСТ 1491880*, вес 5,7 кг/м2, 470* 8100 мм,  уголок 200*270 мм</t>
  </si>
  <si>
    <t>Изделие оцинкованное ФИ-Кр-кз, п. 14, сталь толщ. 0,7 мм, RAL 9002, ГОСТ 1491880*, вес 5,7 кг/м2, 470* 35000 мм, уголок 200*270 мм</t>
  </si>
  <si>
    <t>Изделие оцинкованное ФИ-Кр-кз, п. 13, сталь толщ. 0,7 мм, RAL 9002, ГОСТ 1491880*, вес 5,7 кг/м2, 260* 33900 мм, отлив карнизный</t>
  </si>
  <si>
    <t>РД ГКО -1630/24-Р-АР2  "Архитектурные решения. Кровля"</t>
  </si>
  <si>
    <t>Саморез сверлоконечный  Д4,8*60 мм с телескопическим крепежом для рейки в шве (дюбель) (пр-ль Технониколь)</t>
  </si>
  <si>
    <t xml:space="preserve">саморезами 4,8*50 с анкерными элементом 8*45 мм, шаг 200 мм </t>
  </si>
  <si>
    <t>ПН-3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</si>
</sst>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00"/>
    <numFmt numFmtId="166" formatCode="0.0"/>
  </numFmts>
  <fonts count="1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i/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0"/>
      <name val="Arial"/>
      <family val="2"/>
      <charset val="204"/>
    </font>
    <font>
      <i/>
      <sz val="10"/>
      <color rgb="FFFF0000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i/>
      <sz val="10"/>
      <color theme="7" tint="0.79998168889431442"/>
      <name val="Arial"/>
      <family val="2"/>
      <charset val="204"/>
    </font>
    <font>
      <i/>
      <sz val="10"/>
      <color theme="7" tint="0.7999816888943144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97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16" fontId="11" fillId="4" borderId="1" xfId="0" applyNumberFormat="1" applyFont="1" applyFill="1" applyBorder="1" applyAlignment="1">
      <alignment horizontal="center" vertical="center"/>
    </xf>
    <xf numFmtId="49" fontId="9" fillId="4" borderId="1" xfId="1" applyNumberFormat="1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/>
    </xf>
    <xf numFmtId="2" fontId="11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16" fontId="13" fillId="0" borderId="1" xfId="0" applyNumberFormat="1" applyFont="1" applyFill="1" applyBorder="1" applyAlignment="1">
      <alignment horizontal="center" vertical="center"/>
    </xf>
    <xf numFmtId="0" fontId="10" fillId="0" borderId="1" xfId="2" applyFont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/>
    </xf>
    <xf numFmtId="2" fontId="13" fillId="0" borderId="1" xfId="0" applyNumberFormat="1" applyFont="1" applyFill="1" applyBorder="1" applyAlignment="1">
      <alignment horizontal="center" vertical="center"/>
    </xf>
    <xf numFmtId="2" fontId="12" fillId="0" borderId="1" xfId="0" applyNumberFormat="1" applyFont="1" applyFill="1" applyBorder="1" applyAlignment="1">
      <alignment vertical="center"/>
    </xf>
    <xf numFmtId="0" fontId="7" fillId="0" borderId="1" xfId="2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/>
    </xf>
    <xf numFmtId="0" fontId="13" fillId="0" borderId="1" xfId="2" applyFont="1" applyBorder="1" applyAlignment="1">
      <alignment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49" fontId="10" fillId="0" borderId="1" xfId="0" applyNumberFormat="1" applyFont="1" applyBorder="1" applyAlignment="1">
      <alignment horizontal="center" vertical="center"/>
    </xf>
    <xf numFmtId="0" fontId="8" fillId="0" borderId="1" xfId="2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4" fontId="10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vertical="center"/>
    </xf>
    <xf numFmtId="2" fontId="8" fillId="0" borderId="1" xfId="0" applyNumberFormat="1" applyFont="1" applyBorder="1" applyAlignment="1">
      <alignment vertical="center"/>
    </xf>
    <xf numFmtId="2" fontId="8" fillId="0" borderId="0" xfId="0" applyNumberFormat="1" applyFont="1" applyAlignment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/>
    </xf>
    <xf numFmtId="4" fontId="14" fillId="3" borderId="1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2" fontId="7" fillId="0" borderId="1" xfId="0" applyNumberFormat="1" applyFont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/>
    </xf>
    <xf numFmtId="2" fontId="8" fillId="4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2" fontId="13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164" fontId="13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4" fontId="13" fillId="3" borderId="1" xfId="0" applyNumberFormat="1" applyFont="1" applyFill="1" applyBorder="1" applyAlignment="1">
      <alignment horizontal="center" vertical="center"/>
    </xf>
    <xf numFmtId="4" fontId="13" fillId="5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4" fontId="7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3" fontId="7" fillId="3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10" fillId="3" borderId="1" xfId="0" applyFont="1" applyFill="1" applyBorder="1" applyAlignment="1">
      <alignment vertical="center" wrapText="1"/>
    </xf>
    <xf numFmtId="49" fontId="9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2" fontId="13" fillId="3" borderId="1" xfId="0" applyNumberFormat="1" applyFon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2" fontId="12" fillId="4" borderId="1" xfId="0" applyNumberFormat="1" applyFont="1" applyFill="1" applyBorder="1" applyAlignment="1">
      <alignment vertical="center"/>
    </xf>
    <xf numFmtId="2" fontId="7" fillId="4" borderId="1" xfId="0" applyNumberFormat="1" applyFont="1" applyFill="1" applyBorder="1" applyAlignment="1">
      <alignment vertical="center"/>
    </xf>
    <xf numFmtId="16" fontId="11" fillId="3" borderId="1" xfId="0" applyNumberFormat="1" applyFont="1" applyFill="1" applyBorder="1" applyAlignment="1">
      <alignment horizontal="center" vertical="center"/>
    </xf>
    <xf numFmtId="49" fontId="9" fillId="3" borderId="1" xfId="1" applyNumberFormat="1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/>
    </xf>
    <xf numFmtId="2" fontId="11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2" fontId="7" fillId="0" borderId="0" xfId="0" applyNumberFormat="1" applyFont="1" applyFill="1" applyAlignment="1">
      <alignment vertical="center"/>
    </xf>
    <xf numFmtId="2" fontId="10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vertical="center" wrapText="1"/>
    </xf>
    <xf numFmtId="4" fontId="8" fillId="4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 wrapText="1"/>
    </xf>
    <xf numFmtId="2" fontId="12" fillId="3" borderId="1" xfId="0" applyNumberFormat="1" applyFont="1" applyFill="1" applyBorder="1" applyAlignment="1">
      <alignment vertical="center"/>
    </xf>
    <xf numFmtId="49" fontId="8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3" fontId="10" fillId="3" borderId="1" xfId="0" applyNumberFormat="1" applyFont="1" applyFill="1" applyBorder="1" applyAlignment="1">
      <alignment horizontal="center" vertical="center"/>
    </xf>
    <xf numFmtId="3" fontId="13" fillId="3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164" fontId="8" fillId="4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wrapText="1"/>
    </xf>
    <xf numFmtId="0" fontId="16" fillId="0" borderId="0" xfId="0" applyFont="1" applyAlignment="1">
      <alignment wrapText="1"/>
    </xf>
    <xf numFmtId="164" fontId="10" fillId="0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4" fontId="9" fillId="4" borderId="1" xfId="0" applyNumberFormat="1" applyFont="1" applyFill="1" applyBorder="1" applyAlignment="1">
      <alignment horizontal="center" vertical="center"/>
    </xf>
    <xf numFmtId="165" fontId="13" fillId="0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3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2" fontId="10" fillId="0" borderId="0" xfId="0" applyNumberFormat="1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5" fillId="0" borderId="0" xfId="0" applyFont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166" fontId="7" fillId="0" borderId="1" xfId="0" applyNumberFormat="1" applyFont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17" fillId="4" borderId="1" xfId="0" applyFont="1" applyFill="1" applyBorder="1" applyAlignment="1">
      <alignment vertical="center"/>
    </xf>
    <xf numFmtId="0" fontId="18" fillId="4" borderId="1" xfId="0" applyFont="1" applyFill="1" applyBorder="1" applyAlignment="1">
      <alignment vertical="center"/>
    </xf>
    <xf numFmtId="4" fontId="8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2" fontId="10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1" fontId="12" fillId="0" borderId="1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8" fillId="4" borderId="3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66" fontId="7" fillId="0" borderId="3" xfId="0" applyNumberFormat="1" applyFont="1" applyBorder="1" applyAlignment="1">
      <alignment horizontal="center" vertical="center"/>
    </xf>
    <xf numFmtId="4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2" fontId="7" fillId="0" borderId="3" xfId="0" applyNumberFormat="1" applyFont="1" applyBorder="1" applyAlignment="1">
      <alignment vertical="center"/>
    </xf>
    <xf numFmtId="0" fontId="14" fillId="3" borderId="3" xfId="0" applyFont="1" applyFill="1" applyBorder="1" applyAlignment="1">
      <alignment vertical="center"/>
    </xf>
    <xf numFmtId="0" fontId="14" fillId="4" borderId="3" xfId="0" applyFont="1" applyFill="1" applyBorder="1" applyAlignment="1">
      <alignment vertical="center"/>
    </xf>
    <xf numFmtId="4" fontId="13" fillId="3" borderId="3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166" fontId="12" fillId="4" borderId="1" xfId="0" applyNumberFormat="1" applyFont="1" applyFill="1" applyBorder="1" applyAlignment="1">
      <alignment horizontal="center" vertical="center"/>
    </xf>
    <xf numFmtId="166" fontId="12" fillId="4" borderId="3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164" fontId="10" fillId="5" borderId="1" xfId="0" applyNumberFormat="1" applyFont="1" applyFill="1" applyBorder="1" applyAlignment="1">
      <alignment horizontal="center" vertical="center" wrapText="1"/>
    </xf>
    <xf numFmtId="2" fontId="13" fillId="4" borderId="1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3">
    <cellStyle name="Normal" xfId="2" xr:uid="{FA60F43A-3D3F-4CDF-B04D-AAB87A931166}"/>
    <cellStyle name="Обычный" xfId="0" builtinId="0"/>
    <cellStyle name="Обычный 2 6" xfId="1" xr:uid="{AAD5B3BB-2837-4999-8AA3-A3597F9AB7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8A6E7-6B57-48F1-89B8-5E1F1EC71A53}">
  <sheetPr>
    <outlinePr summaryBelow="0" summaryRight="0"/>
  </sheetPr>
  <dimension ref="A1:I274"/>
  <sheetViews>
    <sheetView tabSelected="1" zoomScale="90" zoomScaleNormal="90" zoomScaleSheetLayoutView="85" workbookViewId="0">
      <selection activeCell="E280" sqref="E280"/>
    </sheetView>
  </sheetViews>
  <sheetFormatPr defaultRowHeight="15.75" outlineLevelRow="2" x14ac:dyDescent="0.25"/>
  <cols>
    <col min="1" max="1" width="6.85546875" style="3" customWidth="1"/>
    <col min="2" max="2" width="84.5703125" style="4" customWidth="1"/>
    <col min="3" max="3" width="8" style="5" bestFit="1" customWidth="1"/>
    <col min="4" max="4" width="14.5703125" style="7" customWidth="1"/>
    <col min="5" max="5" width="14.28515625" style="1" customWidth="1"/>
    <col min="6" max="6" width="14.5703125" style="1" customWidth="1"/>
    <col min="7" max="7" width="14.28515625" style="1" customWidth="1"/>
    <col min="8" max="8" width="15.42578125" style="1" customWidth="1"/>
    <col min="9" max="9" width="21.5703125" style="1" customWidth="1"/>
    <col min="10" max="16384" width="9.140625" style="1"/>
  </cols>
  <sheetData>
    <row r="1" spans="1:9" ht="25.5" customHeight="1" x14ac:dyDescent="0.25">
      <c r="A1" s="196" t="s">
        <v>7</v>
      </c>
      <c r="B1" s="196"/>
      <c r="C1" s="196"/>
      <c r="D1" s="196"/>
      <c r="E1" s="196"/>
      <c r="F1" s="196"/>
      <c r="G1" s="196"/>
      <c r="H1" s="196"/>
    </row>
    <row r="2" spans="1:9" ht="33.75" customHeight="1" x14ac:dyDescent="0.25">
      <c r="A2" s="196" t="s">
        <v>18</v>
      </c>
      <c r="B2" s="196"/>
      <c r="C2" s="196"/>
      <c r="D2" s="196"/>
      <c r="E2" s="196"/>
      <c r="F2" s="196"/>
      <c r="G2" s="196"/>
      <c r="H2" s="196"/>
    </row>
    <row r="3" spans="1:9" s="2" customFormat="1" ht="7.5" customHeight="1" x14ac:dyDescent="0.25">
      <c r="A3" s="196"/>
      <c r="B3" s="196"/>
      <c r="C3" s="196"/>
      <c r="D3" s="11"/>
    </row>
    <row r="4" spans="1:9" s="8" customFormat="1" ht="35.25" customHeight="1" x14ac:dyDescent="0.25">
      <c r="A4" s="196" t="s">
        <v>6</v>
      </c>
      <c r="B4" s="196"/>
      <c r="C4" s="196"/>
      <c r="D4" s="196"/>
      <c r="E4" s="196"/>
      <c r="F4" s="196"/>
      <c r="G4" s="196"/>
      <c r="H4" s="196"/>
      <c r="I4" s="12"/>
    </row>
    <row r="5" spans="1:9" x14ac:dyDescent="0.25">
      <c r="B5" s="4" t="s">
        <v>5</v>
      </c>
      <c r="D5" s="6"/>
    </row>
    <row r="6" spans="1:9" ht="24" customHeight="1" x14ac:dyDescent="0.25">
      <c r="A6" s="3" t="s">
        <v>14</v>
      </c>
      <c r="B6" s="4" t="s">
        <v>283</v>
      </c>
      <c r="C6" s="4"/>
      <c r="D6" s="141"/>
    </row>
    <row r="7" spans="1:9" ht="19.5" customHeight="1" x14ac:dyDescent="0.25">
      <c r="B7" s="9"/>
      <c r="C7" s="9"/>
      <c r="D7" s="10"/>
      <c r="E7" s="194"/>
      <c r="F7" s="195"/>
    </row>
    <row r="8" spans="1:9" s="17" customFormat="1" ht="25.5" x14ac:dyDescent="0.25">
      <c r="A8" s="13" t="s">
        <v>1</v>
      </c>
      <c r="B8" s="14" t="s">
        <v>2</v>
      </c>
      <c r="C8" s="14" t="s">
        <v>3</v>
      </c>
      <c r="D8" s="15" t="s">
        <v>4</v>
      </c>
      <c r="E8" s="14" t="s">
        <v>157</v>
      </c>
      <c r="F8" s="14" t="s">
        <v>136</v>
      </c>
      <c r="G8" s="14" t="s">
        <v>137</v>
      </c>
      <c r="H8" s="14" t="s">
        <v>156</v>
      </c>
    </row>
    <row r="9" spans="1:9" s="17" customFormat="1" ht="20.25" customHeight="1" x14ac:dyDescent="0.25">
      <c r="A9" s="68"/>
      <c r="B9" s="186" t="s">
        <v>19</v>
      </c>
      <c r="C9" s="187" t="s">
        <v>20</v>
      </c>
      <c r="D9" s="188"/>
      <c r="E9" s="189"/>
      <c r="F9" s="189"/>
      <c r="G9" s="190"/>
      <c r="H9" s="190"/>
    </row>
    <row r="10" spans="1:9" s="17" customFormat="1" ht="20.25" customHeight="1" x14ac:dyDescent="0.25">
      <c r="A10" s="19" t="s">
        <v>238</v>
      </c>
      <c r="B10" s="20" t="s">
        <v>235</v>
      </c>
      <c r="C10" s="21"/>
      <c r="D10" s="191" t="s">
        <v>138</v>
      </c>
      <c r="E10" s="90" t="s">
        <v>157</v>
      </c>
      <c r="F10" s="90" t="s">
        <v>136</v>
      </c>
      <c r="G10" s="89" t="s">
        <v>137</v>
      </c>
      <c r="H10" s="89" t="s">
        <v>156</v>
      </c>
    </row>
    <row r="11" spans="1:9" s="27" customFormat="1" ht="23.25" customHeight="1" outlineLevel="1" x14ac:dyDescent="0.25">
      <c r="A11" s="22" t="s">
        <v>10</v>
      </c>
      <c r="B11" s="23" t="s">
        <v>95</v>
      </c>
      <c r="C11" s="24" t="s">
        <v>20</v>
      </c>
      <c r="D11" s="192"/>
      <c r="E11" s="26"/>
      <c r="F11" s="26"/>
      <c r="G11" s="152"/>
      <c r="H11" s="153"/>
      <c r="I11" s="28"/>
    </row>
    <row r="12" spans="1:9" s="27" customFormat="1" ht="18" customHeight="1" outlineLevel="1" x14ac:dyDescent="0.25">
      <c r="A12" s="29" t="s">
        <v>21</v>
      </c>
      <c r="B12" s="30" t="s">
        <v>98</v>
      </c>
      <c r="C12" s="31" t="s">
        <v>20</v>
      </c>
      <c r="D12" s="32">
        <f>F12+G12</f>
        <v>1196.9000000000001</v>
      </c>
      <c r="E12" s="33"/>
      <c r="F12" s="31">
        <v>720.4</v>
      </c>
      <c r="G12" s="32">
        <v>476.5</v>
      </c>
      <c r="H12" s="151"/>
      <c r="I12" s="28"/>
    </row>
    <row r="13" spans="1:9" s="27" customFormat="1" ht="12.75" outlineLevel="1" x14ac:dyDescent="0.25">
      <c r="A13" s="29"/>
      <c r="B13" s="34" t="s">
        <v>125</v>
      </c>
      <c r="C13" s="35" t="s">
        <v>20</v>
      </c>
      <c r="D13" s="32">
        <f t="shared" ref="D13:D20" si="0">F13+G13</f>
        <v>1316.5900000000001</v>
      </c>
      <c r="E13" s="114"/>
      <c r="F13" s="93">
        <v>792.44</v>
      </c>
      <c r="G13" s="31">
        <v>524.15000000000009</v>
      </c>
      <c r="H13" s="151"/>
      <c r="I13" s="28"/>
    </row>
    <row r="14" spans="1:9" s="27" customFormat="1" ht="12.75" outlineLevel="1" x14ac:dyDescent="0.25">
      <c r="A14" s="29" t="s">
        <v>22</v>
      </c>
      <c r="B14" s="37" t="s">
        <v>23</v>
      </c>
      <c r="C14" s="31" t="s">
        <v>20</v>
      </c>
      <c r="D14" s="32">
        <f t="shared" si="0"/>
        <v>1167.6300000000001</v>
      </c>
      <c r="E14" s="114"/>
      <c r="F14" s="160">
        <v>706.13</v>
      </c>
      <c r="G14" s="32">
        <v>461.5</v>
      </c>
      <c r="H14" s="151"/>
      <c r="I14" s="28"/>
    </row>
    <row r="15" spans="1:9" s="42" customFormat="1" ht="21" customHeight="1" outlineLevel="1" x14ac:dyDescent="0.25">
      <c r="A15" s="43"/>
      <c r="B15" s="44" t="s">
        <v>123</v>
      </c>
      <c r="C15" s="45" t="s">
        <v>0</v>
      </c>
      <c r="D15" s="32">
        <f t="shared" si="0"/>
        <v>120.26589000000001</v>
      </c>
      <c r="E15" s="114"/>
      <c r="F15" s="159">
        <v>72.731390000000005</v>
      </c>
      <c r="G15" s="108">
        <v>47.534500000000001</v>
      </c>
      <c r="H15" s="151"/>
      <c r="I15" s="28"/>
    </row>
    <row r="16" spans="1:9" s="42" customFormat="1" ht="21.75" customHeight="1" outlineLevel="1" x14ac:dyDescent="0.25">
      <c r="A16" s="38"/>
      <c r="B16" s="44" t="s">
        <v>124</v>
      </c>
      <c r="C16" s="45" t="s">
        <v>0</v>
      </c>
      <c r="D16" s="32">
        <f t="shared" si="0"/>
        <v>120.26589000000001</v>
      </c>
      <c r="E16" s="114"/>
      <c r="F16" s="159">
        <v>72.731390000000005</v>
      </c>
      <c r="G16" s="108">
        <v>47.534500000000001</v>
      </c>
      <c r="H16" s="151"/>
      <c r="I16" s="28"/>
    </row>
    <row r="17" spans="1:9" s="42" customFormat="1" ht="22.5" customHeight="1" outlineLevel="1" x14ac:dyDescent="0.25">
      <c r="A17" s="38"/>
      <c r="B17" s="39" t="s">
        <v>139</v>
      </c>
      <c r="C17" s="40" t="s">
        <v>53</v>
      </c>
      <c r="D17" s="32">
        <f t="shared" si="0"/>
        <v>8110</v>
      </c>
      <c r="E17" s="114"/>
      <c r="F17" s="118">
        <v>4300</v>
      </c>
      <c r="G17" s="32">
        <v>3810</v>
      </c>
      <c r="H17" s="98"/>
    </row>
    <row r="18" spans="1:9" s="42" customFormat="1" ht="25.5" outlineLevel="1" x14ac:dyDescent="0.25">
      <c r="A18" s="47" t="s">
        <v>24</v>
      </c>
      <c r="B18" s="48" t="s">
        <v>122</v>
      </c>
      <c r="C18" s="49" t="s">
        <v>20</v>
      </c>
      <c r="D18" s="32">
        <f t="shared" si="0"/>
        <v>1237</v>
      </c>
      <c r="E18" s="114"/>
      <c r="F18" s="159">
        <v>732.1</v>
      </c>
      <c r="G18" s="108">
        <v>504.9</v>
      </c>
      <c r="H18" s="98"/>
    </row>
    <row r="19" spans="1:9" s="42" customFormat="1" ht="25.5" customHeight="1" outlineLevel="1" x14ac:dyDescent="0.25">
      <c r="A19" s="38"/>
      <c r="B19" s="39" t="s">
        <v>51</v>
      </c>
      <c r="C19" s="40" t="s">
        <v>20</v>
      </c>
      <c r="D19" s="32">
        <f t="shared" si="0"/>
        <v>1411.33041</v>
      </c>
      <c r="E19" s="114"/>
      <c r="F19" s="60">
        <v>835.27485300000001</v>
      </c>
      <c r="G19" s="81">
        <v>576.05555700000002</v>
      </c>
      <c r="H19" s="151"/>
      <c r="I19" s="28"/>
    </row>
    <row r="20" spans="1:9" s="42" customFormat="1" ht="35.25" customHeight="1" outlineLevel="1" collapsed="1" x14ac:dyDescent="0.25">
      <c r="A20" s="54" t="s">
        <v>93</v>
      </c>
      <c r="B20" s="55" t="s">
        <v>220</v>
      </c>
      <c r="C20" s="56" t="s">
        <v>57</v>
      </c>
      <c r="D20" s="32">
        <f t="shared" si="0"/>
        <v>29.25</v>
      </c>
      <c r="E20" s="33"/>
      <c r="F20" s="130">
        <v>16.05</v>
      </c>
      <c r="G20" s="40">
        <v>13.2</v>
      </c>
      <c r="H20" s="98"/>
    </row>
    <row r="21" spans="1:9" s="17" customFormat="1" ht="20.25" hidden="1" customHeight="1" outlineLevel="2" x14ac:dyDescent="0.25">
      <c r="A21" s="18"/>
      <c r="B21" s="147" t="s">
        <v>214</v>
      </c>
      <c r="C21" s="148" t="s">
        <v>57</v>
      </c>
      <c r="D21" s="77"/>
      <c r="E21" s="33"/>
      <c r="F21" s="73">
        <v>12.37</v>
      </c>
      <c r="G21" s="73">
        <v>17.88</v>
      </c>
      <c r="H21" s="16"/>
    </row>
    <row r="22" spans="1:9" s="17" customFormat="1" ht="20.25" hidden="1" customHeight="1" outlineLevel="2" x14ac:dyDescent="0.25">
      <c r="A22" s="18"/>
      <c r="B22" s="147" t="s">
        <v>215</v>
      </c>
      <c r="C22" s="148" t="s">
        <v>57</v>
      </c>
      <c r="D22" s="77"/>
      <c r="E22" s="33"/>
      <c r="F22" s="73">
        <v>13.05</v>
      </c>
      <c r="G22" s="73">
        <v>19.100000000000001</v>
      </c>
      <c r="H22" s="16"/>
    </row>
    <row r="23" spans="1:9" s="17" customFormat="1" ht="20.25" hidden="1" customHeight="1" outlineLevel="2" x14ac:dyDescent="0.25">
      <c r="A23" s="18"/>
      <c r="B23" s="147" t="s">
        <v>228</v>
      </c>
      <c r="C23" s="148" t="s">
        <v>57</v>
      </c>
      <c r="D23" s="77"/>
      <c r="E23" s="33"/>
      <c r="F23" s="73">
        <v>0.68000000000000149</v>
      </c>
      <c r="G23" s="73">
        <v>1.2200000000000024</v>
      </c>
      <c r="H23" s="16"/>
    </row>
    <row r="24" spans="1:9" s="42" customFormat="1" ht="19.5" customHeight="1" outlineLevel="1" x14ac:dyDescent="0.25">
      <c r="A24" s="38"/>
      <c r="B24" s="149" t="s">
        <v>263</v>
      </c>
      <c r="C24" s="40"/>
      <c r="D24" s="41"/>
      <c r="E24" s="33"/>
      <c r="F24" s="58"/>
      <c r="G24" s="52"/>
      <c r="H24" s="98"/>
    </row>
    <row r="25" spans="1:9" s="42" customFormat="1" ht="20.25" customHeight="1" outlineLevel="1" x14ac:dyDescent="0.25">
      <c r="A25" s="47"/>
      <c r="B25" s="57" t="s">
        <v>216</v>
      </c>
      <c r="C25" s="58"/>
      <c r="D25" s="59"/>
      <c r="E25" s="33"/>
      <c r="F25" s="58"/>
      <c r="G25" s="98"/>
      <c r="H25" s="98"/>
    </row>
    <row r="26" spans="1:9" s="42" customFormat="1" ht="30.75" customHeight="1" outlineLevel="1" x14ac:dyDescent="0.25">
      <c r="A26" s="38"/>
      <c r="B26" s="39" t="s">
        <v>231</v>
      </c>
      <c r="C26" s="40" t="s">
        <v>57</v>
      </c>
      <c r="D26" s="41">
        <v>29.25</v>
      </c>
      <c r="E26" s="33"/>
      <c r="F26" s="58">
        <v>16.05</v>
      </c>
      <c r="G26" s="81">
        <v>13.2</v>
      </c>
      <c r="H26" s="52"/>
      <c r="I26" s="53"/>
    </row>
    <row r="27" spans="1:9" s="42" customFormat="1" ht="23.25" customHeight="1" outlineLevel="1" x14ac:dyDescent="0.25">
      <c r="A27" s="38"/>
      <c r="B27" s="39" t="s">
        <v>232</v>
      </c>
      <c r="C27" s="40" t="s">
        <v>53</v>
      </c>
      <c r="D27" s="41">
        <f>F27+G27</f>
        <v>219</v>
      </c>
      <c r="E27" s="33"/>
      <c r="F27" s="58">
        <v>120</v>
      </c>
      <c r="G27" s="81">
        <v>99</v>
      </c>
      <c r="H27" s="98"/>
    </row>
    <row r="28" spans="1:9" s="42" customFormat="1" ht="33.75" customHeight="1" outlineLevel="1" x14ac:dyDescent="0.25">
      <c r="A28" s="38"/>
      <c r="B28" s="39" t="s">
        <v>262</v>
      </c>
      <c r="C28" s="138" t="s">
        <v>20</v>
      </c>
      <c r="D28" s="41">
        <f t="shared" ref="D28:D33" si="1">F28+G28</f>
        <v>45.999999999999993</v>
      </c>
      <c r="E28" s="114"/>
      <c r="F28" s="143">
        <v>25.714285714285712</v>
      </c>
      <c r="G28" s="81">
        <v>20.285714285714281</v>
      </c>
      <c r="H28" s="98"/>
    </row>
    <row r="29" spans="1:9" s="42" customFormat="1" ht="33.75" customHeight="1" outlineLevel="1" x14ac:dyDescent="0.25">
      <c r="A29" s="38"/>
      <c r="B29" s="39" t="s">
        <v>225</v>
      </c>
      <c r="C29" s="138" t="s">
        <v>0</v>
      </c>
      <c r="D29" s="41">
        <f t="shared" si="1"/>
        <v>3.3141280000000002</v>
      </c>
      <c r="E29" s="114"/>
      <c r="F29" s="143">
        <v>1.8515280000000003</v>
      </c>
      <c r="G29" s="81">
        <v>1.4625999999999999</v>
      </c>
      <c r="H29" s="151"/>
    </row>
    <row r="30" spans="1:9" s="42" customFormat="1" ht="20.25" customHeight="1" outlineLevel="1" x14ac:dyDescent="0.25">
      <c r="A30" s="38"/>
      <c r="B30" s="39" t="s">
        <v>226</v>
      </c>
      <c r="C30" s="138" t="s">
        <v>53</v>
      </c>
      <c r="D30" s="41">
        <f t="shared" si="1"/>
        <v>73</v>
      </c>
      <c r="E30" s="114"/>
      <c r="F30" s="138">
        <v>40</v>
      </c>
      <c r="G30" s="81">
        <v>32.999999999999993</v>
      </c>
      <c r="H30" s="98"/>
    </row>
    <row r="31" spans="1:9" s="42" customFormat="1" ht="20.25" customHeight="1" outlineLevel="1" x14ac:dyDescent="0.25">
      <c r="A31" s="38"/>
      <c r="B31" s="39" t="s">
        <v>140</v>
      </c>
      <c r="C31" s="138" t="s">
        <v>57</v>
      </c>
      <c r="D31" s="41">
        <f t="shared" si="1"/>
        <v>12.443999999999999</v>
      </c>
      <c r="E31" s="114"/>
      <c r="F31" s="143">
        <v>6.7319999999999993</v>
      </c>
      <c r="G31" s="81">
        <v>5.7119999999999997</v>
      </c>
      <c r="H31" s="151"/>
    </row>
    <row r="32" spans="1:9" s="42" customFormat="1" ht="31.5" customHeight="1" outlineLevel="1" x14ac:dyDescent="0.25">
      <c r="A32" s="38"/>
      <c r="B32" s="39" t="s">
        <v>224</v>
      </c>
      <c r="C32" s="138" t="s">
        <v>57</v>
      </c>
      <c r="D32" s="41">
        <f t="shared" si="1"/>
        <v>59.589999999999996</v>
      </c>
      <c r="E32" s="114"/>
      <c r="F32" s="138">
        <v>32.69</v>
      </c>
      <c r="G32" s="81">
        <v>26.9</v>
      </c>
      <c r="H32" s="98"/>
    </row>
    <row r="33" spans="1:9" s="42" customFormat="1" ht="31.5" customHeight="1" outlineLevel="1" x14ac:dyDescent="0.25">
      <c r="A33" s="38"/>
      <c r="B33" s="39" t="s">
        <v>223</v>
      </c>
      <c r="C33" s="40" t="s">
        <v>53</v>
      </c>
      <c r="D33" s="41">
        <f t="shared" si="1"/>
        <v>214.49999999999997</v>
      </c>
      <c r="E33" s="33"/>
      <c r="F33" s="40">
        <v>80</v>
      </c>
      <c r="G33" s="81">
        <v>134.49999999999997</v>
      </c>
      <c r="H33" s="98"/>
    </row>
    <row r="34" spans="1:9" s="42" customFormat="1" ht="16.5" customHeight="1" outlineLevel="1" x14ac:dyDescent="0.25">
      <c r="A34" s="38"/>
      <c r="B34" s="149" t="s">
        <v>264</v>
      </c>
      <c r="C34" s="40"/>
      <c r="D34" s="41"/>
      <c r="E34" s="33"/>
      <c r="F34" s="40"/>
      <c r="G34" s="52"/>
      <c r="H34" s="98"/>
    </row>
    <row r="35" spans="1:9" s="42" customFormat="1" ht="19.5" customHeight="1" outlineLevel="1" x14ac:dyDescent="0.25">
      <c r="A35" s="61"/>
      <c r="B35" s="39" t="s">
        <v>227</v>
      </c>
      <c r="C35" s="40" t="s">
        <v>20</v>
      </c>
      <c r="D35" s="41">
        <f>F35+G35</f>
        <v>29.75</v>
      </c>
      <c r="E35" s="33"/>
      <c r="F35" s="58">
        <v>16</v>
      </c>
      <c r="G35" s="81">
        <v>13.75</v>
      </c>
      <c r="H35" s="98"/>
    </row>
    <row r="36" spans="1:9" s="42" customFormat="1" ht="19.5" customHeight="1" outlineLevel="1" x14ac:dyDescent="0.25">
      <c r="A36" s="61"/>
      <c r="B36" s="39" t="s">
        <v>265</v>
      </c>
      <c r="C36" s="58" t="s">
        <v>20</v>
      </c>
      <c r="D36" s="41">
        <f t="shared" ref="D36:D42" si="2">F36+G36</f>
        <v>5.0999999999999996</v>
      </c>
      <c r="E36" s="114"/>
      <c r="F36" s="60">
        <v>3.0999999999999996</v>
      </c>
      <c r="G36" s="81">
        <v>2</v>
      </c>
      <c r="H36" s="98"/>
    </row>
    <row r="37" spans="1:9" s="42" customFormat="1" ht="19.5" customHeight="1" outlineLevel="1" x14ac:dyDescent="0.25">
      <c r="A37" s="61"/>
      <c r="B37" s="39" t="s">
        <v>230</v>
      </c>
      <c r="C37" s="58" t="s">
        <v>0</v>
      </c>
      <c r="D37" s="41">
        <f t="shared" si="2"/>
        <v>0.5253000000000001</v>
      </c>
      <c r="E37" s="114"/>
      <c r="F37" s="60">
        <v>0.31930000000000003</v>
      </c>
      <c r="G37" s="81">
        <v>0.20600000000000002</v>
      </c>
      <c r="H37" s="105"/>
    </row>
    <row r="38" spans="1:9" s="42" customFormat="1" ht="19.5" customHeight="1" outlineLevel="1" x14ac:dyDescent="0.25">
      <c r="A38" s="38"/>
      <c r="B38" s="39" t="s">
        <v>140</v>
      </c>
      <c r="C38" s="58" t="s">
        <v>57</v>
      </c>
      <c r="D38" s="41">
        <f t="shared" si="2"/>
        <v>12.443999999999999</v>
      </c>
      <c r="E38" s="114"/>
      <c r="F38" s="60">
        <v>6.7319999999999993</v>
      </c>
      <c r="G38" s="81">
        <v>5.7119999999999997</v>
      </c>
      <c r="H38" s="98"/>
    </row>
    <row r="39" spans="1:9" s="42" customFormat="1" ht="29.25" customHeight="1" outlineLevel="1" x14ac:dyDescent="0.25">
      <c r="A39" s="38"/>
      <c r="B39" s="39" t="s">
        <v>221</v>
      </c>
      <c r="C39" s="58" t="s">
        <v>57</v>
      </c>
      <c r="D39" s="41">
        <f t="shared" si="2"/>
        <v>29.25</v>
      </c>
      <c r="E39" s="114"/>
      <c r="F39" s="138">
        <v>16.05</v>
      </c>
      <c r="G39" s="81">
        <v>13.2</v>
      </c>
      <c r="H39" s="98"/>
    </row>
    <row r="40" spans="1:9" s="42" customFormat="1" ht="29.25" customHeight="1" outlineLevel="1" x14ac:dyDescent="0.25">
      <c r="A40" s="38"/>
      <c r="B40" s="39" t="s">
        <v>222</v>
      </c>
      <c r="C40" s="40" t="s">
        <v>53</v>
      </c>
      <c r="D40" s="41">
        <f t="shared" si="2"/>
        <v>73</v>
      </c>
      <c r="E40" s="33"/>
      <c r="F40" s="45">
        <v>40</v>
      </c>
      <c r="G40" s="81">
        <v>32.999999999999993</v>
      </c>
      <c r="H40" s="98"/>
    </row>
    <row r="41" spans="1:9" s="42" customFormat="1" ht="29.25" customHeight="1" outlineLevel="1" x14ac:dyDescent="0.25">
      <c r="A41" s="38"/>
      <c r="B41" s="62" t="s">
        <v>255</v>
      </c>
      <c r="C41" s="45" t="s">
        <v>20</v>
      </c>
      <c r="D41" s="41">
        <f t="shared" si="2"/>
        <v>27.018000000000058</v>
      </c>
      <c r="E41" s="33"/>
      <c r="F41" s="63">
        <v>10.914000000000025</v>
      </c>
      <c r="G41" s="81">
        <v>16.104000000000031</v>
      </c>
      <c r="H41" s="98"/>
    </row>
    <row r="42" spans="1:9" s="42" customFormat="1" ht="21" customHeight="1" outlineLevel="1" x14ac:dyDescent="0.25">
      <c r="A42" s="38"/>
      <c r="B42" s="62" t="s">
        <v>142</v>
      </c>
      <c r="C42" s="45" t="s">
        <v>53</v>
      </c>
      <c r="D42" s="41">
        <f t="shared" si="2"/>
        <v>1</v>
      </c>
      <c r="E42" s="33"/>
      <c r="F42" s="63">
        <v>0.5</v>
      </c>
      <c r="G42" s="81">
        <v>0.5</v>
      </c>
      <c r="H42" s="98"/>
    </row>
    <row r="43" spans="1:9" s="42" customFormat="1" ht="29.25" customHeight="1" outlineLevel="1" collapsed="1" x14ac:dyDescent="0.25">
      <c r="A43" s="64"/>
      <c r="B43" s="65" t="s">
        <v>219</v>
      </c>
      <c r="C43" s="66" t="s">
        <v>57</v>
      </c>
      <c r="D43" s="82">
        <f>F43+G43</f>
        <v>29.47</v>
      </c>
      <c r="E43" s="99"/>
      <c r="F43" s="67">
        <v>16.25</v>
      </c>
      <c r="G43" s="66">
        <v>13.22</v>
      </c>
      <c r="H43" s="83"/>
    </row>
    <row r="44" spans="1:9" s="17" customFormat="1" ht="20.25" hidden="1" customHeight="1" outlineLevel="2" x14ac:dyDescent="0.25">
      <c r="A44" s="18"/>
      <c r="B44" s="147" t="s">
        <v>214</v>
      </c>
      <c r="C44" s="148" t="s">
        <v>57</v>
      </c>
      <c r="D44" s="77"/>
      <c r="E44" s="73"/>
      <c r="F44" s="73">
        <v>12.37</v>
      </c>
      <c r="G44" s="14">
        <v>17.88</v>
      </c>
      <c r="H44" s="16"/>
    </row>
    <row r="45" spans="1:9" s="17" customFormat="1" ht="20.25" hidden="1" customHeight="1" outlineLevel="2" x14ac:dyDescent="0.25">
      <c r="A45" s="18"/>
      <c r="B45" s="147" t="s">
        <v>215</v>
      </c>
      <c r="C45" s="148" t="s">
        <v>57</v>
      </c>
      <c r="D45" s="77"/>
      <c r="E45" s="73"/>
      <c r="F45" s="73">
        <v>13.05</v>
      </c>
      <c r="G45" s="14">
        <v>19.100000000000001</v>
      </c>
      <c r="H45" s="16"/>
    </row>
    <row r="46" spans="1:9" s="17" customFormat="1" ht="20.25" hidden="1" customHeight="1" outlineLevel="2" x14ac:dyDescent="0.25">
      <c r="A46" s="18"/>
      <c r="B46" s="147" t="s">
        <v>228</v>
      </c>
      <c r="C46" s="148" t="s">
        <v>57</v>
      </c>
      <c r="D46" s="77"/>
      <c r="E46" s="73"/>
      <c r="F46" s="73">
        <v>0.68000000000000149</v>
      </c>
      <c r="G46" s="14">
        <v>1.2200000000000024</v>
      </c>
      <c r="H46" s="16"/>
    </row>
    <row r="47" spans="1:9" s="17" customFormat="1" ht="20.25" customHeight="1" outlineLevel="1" x14ac:dyDescent="0.25">
      <c r="A47" s="68"/>
      <c r="B47" s="69" t="s">
        <v>266</v>
      </c>
      <c r="C47" s="70" t="s">
        <v>57</v>
      </c>
      <c r="D47" s="71">
        <f>F47+G47</f>
        <v>16.25</v>
      </c>
      <c r="E47" s="72"/>
      <c r="F47" s="72">
        <v>16.25</v>
      </c>
      <c r="G47" s="16">
        <v>0</v>
      </c>
      <c r="H47" s="155"/>
      <c r="I47" s="137"/>
    </row>
    <row r="48" spans="1:9" s="17" customFormat="1" ht="20.25" customHeight="1" outlineLevel="1" x14ac:dyDescent="0.25">
      <c r="A48" s="68"/>
      <c r="B48" s="69" t="s">
        <v>229</v>
      </c>
      <c r="C48" s="70" t="s">
        <v>0</v>
      </c>
      <c r="D48" s="71">
        <f t="shared" ref="D48:D50" si="3">F48+G48</f>
        <v>2.0039600000000002</v>
      </c>
      <c r="E48" s="74"/>
      <c r="F48" s="74">
        <v>1.105</v>
      </c>
      <c r="G48" s="155">
        <v>0.89896000000000009</v>
      </c>
      <c r="H48" s="16"/>
    </row>
    <row r="49" spans="1:9" s="17" customFormat="1" ht="20.25" customHeight="1" outlineLevel="1" x14ac:dyDescent="0.25">
      <c r="A49" s="68"/>
      <c r="B49" s="69" t="s">
        <v>239</v>
      </c>
      <c r="C49" s="70" t="s">
        <v>57</v>
      </c>
      <c r="D49" s="71">
        <f t="shared" si="3"/>
        <v>17.682000000000002</v>
      </c>
      <c r="E49" s="70"/>
      <c r="F49" s="75">
        <v>9.75</v>
      </c>
      <c r="G49" s="155">
        <v>7.9320000000000004</v>
      </c>
      <c r="H49" s="155"/>
      <c r="I49" s="137"/>
    </row>
    <row r="50" spans="1:9" s="17" customFormat="1" ht="20.25" customHeight="1" outlineLevel="1" x14ac:dyDescent="0.25">
      <c r="A50" s="68"/>
      <c r="B50" s="69" t="s">
        <v>240</v>
      </c>
      <c r="C50" s="70" t="s">
        <v>57</v>
      </c>
      <c r="D50" s="71">
        <f t="shared" si="3"/>
        <v>17.682000000000002</v>
      </c>
      <c r="E50" s="70"/>
      <c r="F50" s="75">
        <v>9.75</v>
      </c>
      <c r="G50" s="155">
        <v>7.9320000000000004</v>
      </c>
      <c r="H50" s="155"/>
      <c r="I50" s="137"/>
    </row>
    <row r="51" spans="1:9" s="42" customFormat="1" ht="26.25" customHeight="1" outlineLevel="1" x14ac:dyDescent="0.25">
      <c r="A51" s="38"/>
      <c r="B51" s="76" t="s">
        <v>141</v>
      </c>
      <c r="C51" s="45" t="s">
        <v>20</v>
      </c>
      <c r="D51" s="71">
        <f>F51+G51</f>
        <v>5.63</v>
      </c>
      <c r="E51" s="63"/>
      <c r="F51" s="63">
        <v>3.63</v>
      </c>
      <c r="G51" s="81">
        <v>2</v>
      </c>
      <c r="H51" s="52"/>
      <c r="I51" s="53"/>
    </row>
    <row r="52" spans="1:9" s="42" customFormat="1" ht="30" customHeight="1" outlineLevel="1" x14ac:dyDescent="0.25">
      <c r="A52" s="43" t="s">
        <v>101</v>
      </c>
      <c r="B52" s="78" t="s">
        <v>158</v>
      </c>
      <c r="C52" s="49" t="s">
        <v>20</v>
      </c>
      <c r="D52" s="79">
        <f>D54+D53</f>
        <v>58.97</v>
      </c>
      <c r="E52" s="79"/>
      <c r="F52" s="79">
        <v>32.590400000000002</v>
      </c>
      <c r="G52" s="154">
        <v>26.374400000000001</v>
      </c>
      <c r="H52" s="98"/>
    </row>
    <row r="53" spans="1:9" s="42" customFormat="1" ht="31.5" customHeight="1" outlineLevel="1" x14ac:dyDescent="0.25">
      <c r="A53" s="43"/>
      <c r="B53" s="86" t="s">
        <v>185</v>
      </c>
      <c r="C53" s="49" t="s">
        <v>20</v>
      </c>
      <c r="D53" s="79">
        <v>42.51</v>
      </c>
      <c r="E53" s="79"/>
      <c r="F53" s="79">
        <v>23.496000000000002</v>
      </c>
      <c r="G53" s="81">
        <v>19.010400000000001</v>
      </c>
      <c r="H53" s="98"/>
    </row>
    <row r="54" spans="1:9" s="42" customFormat="1" ht="39.75" customHeight="1" outlineLevel="1" x14ac:dyDescent="0.25">
      <c r="A54" s="43"/>
      <c r="B54" s="86" t="s">
        <v>186</v>
      </c>
      <c r="C54" s="49" t="s">
        <v>20</v>
      </c>
      <c r="D54" s="79">
        <v>16.46</v>
      </c>
      <c r="E54" s="81"/>
      <c r="F54" s="81">
        <v>9.0944000000000003</v>
      </c>
      <c r="G54" s="81">
        <v>7.3640000000000008</v>
      </c>
      <c r="H54" s="98"/>
    </row>
    <row r="55" spans="1:9" s="42" customFormat="1" ht="18.75" customHeight="1" outlineLevel="1" x14ac:dyDescent="0.25">
      <c r="A55" s="38"/>
      <c r="B55" s="39" t="s">
        <v>233</v>
      </c>
      <c r="C55" s="45" t="s">
        <v>53</v>
      </c>
      <c r="D55" s="79">
        <f>F55+G55</f>
        <v>226.5</v>
      </c>
      <c r="E55" s="63"/>
      <c r="F55" s="63">
        <v>160.5</v>
      </c>
      <c r="G55" s="81">
        <v>65.999999999999986</v>
      </c>
      <c r="H55" s="98"/>
    </row>
    <row r="56" spans="1:9" s="42" customFormat="1" ht="17.25" customHeight="1" outlineLevel="1" x14ac:dyDescent="0.25">
      <c r="A56" s="54" t="s">
        <v>135</v>
      </c>
      <c r="B56" s="55" t="s">
        <v>106</v>
      </c>
      <c r="C56" s="56"/>
      <c r="D56" s="46"/>
      <c r="E56" s="131"/>
      <c r="F56" s="131"/>
      <c r="G56" s="98"/>
      <c r="H56" s="98"/>
    </row>
    <row r="57" spans="1:9" s="42" customFormat="1" ht="30" customHeight="1" outlineLevel="1" x14ac:dyDescent="0.25">
      <c r="A57" s="43"/>
      <c r="B57" s="48" t="s">
        <v>94</v>
      </c>
      <c r="C57" s="49" t="s">
        <v>57</v>
      </c>
      <c r="D57" s="79">
        <v>79.599999999999994</v>
      </c>
      <c r="E57" s="81"/>
      <c r="F57" s="40">
        <v>44.4</v>
      </c>
      <c r="G57" s="40">
        <v>35.200000000000003</v>
      </c>
      <c r="H57" s="98"/>
    </row>
    <row r="58" spans="1:9" s="42" customFormat="1" ht="18" customHeight="1" outlineLevel="1" x14ac:dyDescent="0.25">
      <c r="A58" s="38"/>
      <c r="B58" s="39" t="s">
        <v>119</v>
      </c>
      <c r="C58" s="40" t="s">
        <v>20</v>
      </c>
      <c r="D58" s="41">
        <v>43.98</v>
      </c>
      <c r="E58" s="81"/>
      <c r="F58" s="40">
        <v>24.38</v>
      </c>
      <c r="G58" s="81">
        <v>19.600000000000001</v>
      </c>
      <c r="H58" s="98"/>
    </row>
    <row r="59" spans="1:9" s="28" customFormat="1" ht="24.75" customHeight="1" outlineLevel="1" x14ac:dyDescent="0.25">
      <c r="A59" s="136"/>
      <c r="B59" s="158" t="s">
        <v>193</v>
      </c>
      <c r="C59" s="35" t="s">
        <v>65</v>
      </c>
      <c r="D59" s="46" t="s">
        <v>96</v>
      </c>
      <c r="E59" s="35"/>
      <c r="F59" s="35">
        <v>1.8</v>
      </c>
      <c r="G59" s="35">
        <v>1.42</v>
      </c>
      <c r="H59" s="151"/>
    </row>
    <row r="60" spans="1:9" s="42" customFormat="1" ht="30.75" customHeight="1" outlineLevel="1" x14ac:dyDescent="0.25">
      <c r="A60" s="38"/>
      <c r="B60" s="39" t="s">
        <v>194</v>
      </c>
      <c r="C60" s="40" t="s">
        <v>20</v>
      </c>
      <c r="D60" s="60">
        <f>D57*0.5*1.14</f>
        <v>45.371999999999993</v>
      </c>
      <c r="E60" s="60"/>
      <c r="F60" s="60">
        <v>25.307999999999996</v>
      </c>
      <c r="G60" s="81">
        <v>20.064</v>
      </c>
      <c r="H60" s="98"/>
    </row>
    <row r="61" spans="1:9" s="42" customFormat="1" ht="16.5" customHeight="1" outlineLevel="1" x14ac:dyDescent="0.25">
      <c r="A61" s="38"/>
      <c r="B61" s="39" t="s">
        <v>195</v>
      </c>
      <c r="C61" s="40" t="s">
        <v>53</v>
      </c>
      <c r="D61" s="84">
        <f>79.6*12</f>
        <v>955.19999999999993</v>
      </c>
      <c r="E61" s="40"/>
      <c r="F61" s="40">
        <v>506</v>
      </c>
      <c r="G61" s="40">
        <v>449</v>
      </c>
      <c r="H61" s="98"/>
    </row>
    <row r="62" spans="1:9" s="135" customFormat="1" ht="16.5" customHeight="1" outlineLevel="1" x14ac:dyDescent="0.25">
      <c r="A62" s="132"/>
      <c r="B62" s="133" t="s">
        <v>196</v>
      </c>
      <c r="C62" s="56" t="s">
        <v>148</v>
      </c>
      <c r="D62" s="134">
        <v>20</v>
      </c>
      <c r="E62" s="56"/>
      <c r="F62" s="56">
        <v>11</v>
      </c>
      <c r="G62" s="56">
        <v>9</v>
      </c>
      <c r="H62" s="131"/>
    </row>
    <row r="63" spans="1:9" s="42" customFormat="1" ht="25.5" customHeight="1" outlineLevel="1" x14ac:dyDescent="0.25">
      <c r="A63" s="43" t="s">
        <v>261</v>
      </c>
      <c r="B63" s="48" t="s">
        <v>146</v>
      </c>
      <c r="C63" s="49"/>
      <c r="D63" s="79">
        <f>F63+G63</f>
        <v>208.6</v>
      </c>
      <c r="E63" s="85"/>
      <c r="F63" s="40">
        <v>90.8</v>
      </c>
      <c r="G63" s="81">
        <f>G65</f>
        <v>117.8</v>
      </c>
      <c r="H63" s="98"/>
    </row>
    <row r="64" spans="1:9" s="42" customFormat="1" ht="30.75" customHeight="1" outlineLevel="1" x14ac:dyDescent="0.25">
      <c r="A64" s="43"/>
      <c r="B64" s="48" t="s">
        <v>143</v>
      </c>
      <c r="C64" s="49" t="s">
        <v>20</v>
      </c>
      <c r="D64" s="79">
        <v>0</v>
      </c>
      <c r="E64" s="40"/>
      <c r="F64" s="40">
        <v>0</v>
      </c>
      <c r="G64" s="81">
        <v>0</v>
      </c>
      <c r="H64" s="98"/>
      <c r="I64" s="53"/>
    </row>
    <row r="65" spans="1:9" s="42" customFormat="1" ht="30.75" customHeight="1" outlineLevel="1" x14ac:dyDescent="0.25">
      <c r="A65" s="43"/>
      <c r="B65" s="86" t="s">
        <v>145</v>
      </c>
      <c r="C65" s="49" t="s">
        <v>20</v>
      </c>
      <c r="D65" s="79">
        <f>F65+G65</f>
        <v>208.6</v>
      </c>
      <c r="E65" s="60"/>
      <c r="F65" s="60">
        <v>90.8</v>
      </c>
      <c r="G65" s="81">
        <v>117.8</v>
      </c>
      <c r="H65" s="98"/>
    </row>
    <row r="66" spans="1:9" s="42" customFormat="1" ht="27" customHeight="1" x14ac:dyDescent="0.25">
      <c r="A66" s="87" t="s">
        <v>237</v>
      </c>
      <c r="B66" s="88" t="s">
        <v>236</v>
      </c>
      <c r="C66" s="89"/>
      <c r="D66" s="191" t="s">
        <v>138</v>
      </c>
      <c r="E66" s="90" t="s">
        <v>157</v>
      </c>
      <c r="F66" s="90" t="s">
        <v>136</v>
      </c>
      <c r="G66" s="89" t="s">
        <v>137</v>
      </c>
      <c r="H66" s="89" t="s">
        <v>156</v>
      </c>
    </row>
    <row r="67" spans="1:9" s="27" customFormat="1" ht="30.75" customHeight="1" outlineLevel="1" x14ac:dyDescent="0.25">
      <c r="A67" s="22" t="s">
        <v>8</v>
      </c>
      <c r="B67" s="23" t="s">
        <v>43</v>
      </c>
      <c r="C67" s="24" t="s">
        <v>20</v>
      </c>
      <c r="D67" s="25">
        <v>974.4</v>
      </c>
      <c r="E67" s="25"/>
      <c r="F67" s="25">
        <v>545.6</v>
      </c>
      <c r="G67" s="161">
        <v>428.8</v>
      </c>
      <c r="H67" s="139"/>
      <c r="I67" s="28"/>
    </row>
    <row r="68" spans="1:9" s="27" customFormat="1" ht="19.5" customHeight="1" outlineLevel="1" x14ac:dyDescent="0.25">
      <c r="A68" s="29" t="s">
        <v>15</v>
      </c>
      <c r="B68" s="30" t="s">
        <v>54</v>
      </c>
      <c r="C68" s="31" t="s">
        <v>20</v>
      </c>
      <c r="D68" s="32">
        <f>F68+G68</f>
        <v>974.40000000000009</v>
      </c>
      <c r="E68" s="91"/>
      <c r="F68" s="36">
        <v>545.6</v>
      </c>
      <c r="G68" s="35">
        <v>428.8</v>
      </c>
      <c r="H68" s="35"/>
      <c r="I68" s="28"/>
    </row>
    <row r="69" spans="1:9" s="27" customFormat="1" ht="18" customHeight="1" outlineLevel="1" x14ac:dyDescent="0.25">
      <c r="A69" s="29"/>
      <c r="B69" s="34" t="s">
        <v>132</v>
      </c>
      <c r="C69" s="35" t="s">
        <v>20</v>
      </c>
      <c r="D69" s="32">
        <f t="shared" ref="D69:D76" si="4">F69+G69</f>
        <v>1071.8400000000001</v>
      </c>
      <c r="E69" s="36"/>
      <c r="F69" s="36">
        <v>600.16000000000008</v>
      </c>
      <c r="G69" s="35">
        <v>471.68000000000006</v>
      </c>
      <c r="H69" s="35"/>
      <c r="I69" s="28"/>
    </row>
    <row r="70" spans="1:9" s="27" customFormat="1" ht="22.5" customHeight="1" outlineLevel="1" x14ac:dyDescent="0.25">
      <c r="A70" s="29" t="s">
        <v>12</v>
      </c>
      <c r="B70" s="37" t="s">
        <v>23</v>
      </c>
      <c r="C70" s="31" t="s">
        <v>20</v>
      </c>
      <c r="D70" s="32">
        <f t="shared" si="4"/>
        <v>974.40000000000009</v>
      </c>
      <c r="E70" s="91"/>
      <c r="F70" s="36">
        <v>545.6</v>
      </c>
      <c r="G70" s="35">
        <v>428.8</v>
      </c>
      <c r="H70" s="35"/>
      <c r="I70" s="28"/>
    </row>
    <row r="71" spans="1:9" s="42" customFormat="1" ht="30" customHeight="1" outlineLevel="1" x14ac:dyDescent="0.25">
      <c r="A71" s="43"/>
      <c r="B71" s="44" t="s">
        <v>55</v>
      </c>
      <c r="C71" s="40" t="s">
        <v>0</v>
      </c>
      <c r="D71" s="32">
        <f t="shared" si="4"/>
        <v>100.36320000000001</v>
      </c>
      <c r="E71" s="94"/>
      <c r="F71" s="94">
        <v>56.196800000000003</v>
      </c>
      <c r="G71" s="40">
        <v>44.166400000000003</v>
      </c>
      <c r="H71" s="40"/>
    </row>
    <row r="72" spans="1:9" s="42" customFormat="1" ht="21.75" customHeight="1" outlineLevel="1" x14ac:dyDescent="0.25">
      <c r="A72" s="38"/>
      <c r="B72" s="44" t="s">
        <v>126</v>
      </c>
      <c r="C72" s="40" t="s">
        <v>0</v>
      </c>
      <c r="D72" s="32">
        <f t="shared" si="4"/>
        <v>50.181600000000003</v>
      </c>
      <c r="E72" s="94"/>
      <c r="F72" s="94">
        <v>28.098400000000002</v>
      </c>
      <c r="G72" s="40">
        <v>22.083200000000001</v>
      </c>
      <c r="H72" s="40"/>
    </row>
    <row r="73" spans="1:9" s="42" customFormat="1" ht="35.25" customHeight="1" outlineLevel="1" x14ac:dyDescent="0.25">
      <c r="A73" s="43"/>
      <c r="B73" s="44" t="s">
        <v>127</v>
      </c>
      <c r="C73" s="40" t="s">
        <v>0</v>
      </c>
      <c r="D73" s="32">
        <f t="shared" si="4"/>
        <v>67.743099999999998</v>
      </c>
      <c r="E73" s="60"/>
      <c r="F73" s="60">
        <v>36.976999999999997</v>
      </c>
      <c r="G73" s="40">
        <v>30.766100000000002</v>
      </c>
      <c r="H73" s="40"/>
    </row>
    <row r="74" spans="1:9" s="27" customFormat="1" ht="30" customHeight="1" outlineLevel="1" x14ac:dyDescent="0.25">
      <c r="A74" s="29"/>
      <c r="B74" s="57" t="s">
        <v>244</v>
      </c>
      <c r="C74" s="35" t="s">
        <v>53</v>
      </c>
      <c r="D74" s="32">
        <f t="shared" si="4"/>
        <v>6770</v>
      </c>
      <c r="E74" s="91"/>
      <c r="F74" s="92">
        <v>3770</v>
      </c>
      <c r="G74" s="162">
        <v>3000</v>
      </c>
      <c r="H74" s="35"/>
      <c r="I74" s="28"/>
    </row>
    <row r="75" spans="1:9" s="42" customFormat="1" ht="20.25" customHeight="1" outlineLevel="1" x14ac:dyDescent="0.25">
      <c r="A75" s="43" t="s">
        <v>13</v>
      </c>
      <c r="B75" s="48" t="s">
        <v>52</v>
      </c>
      <c r="C75" s="49" t="s">
        <v>20</v>
      </c>
      <c r="D75" s="32">
        <f t="shared" si="4"/>
        <v>1280</v>
      </c>
      <c r="E75" s="81"/>
      <c r="F75" s="81">
        <v>701</v>
      </c>
      <c r="G75" s="40">
        <v>579</v>
      </c>
      <c r="H75" s="40"/>
    </row>
    <row r="76" spans="1:9" s="42" customFormat="1" ht="28.5" customHeight="1" outlineLevel="1" collapsed="1" x14ac:dyDescent="0.25">
      <c r="A76" s="38"/>
      <c r="B76" s="95" t="s">
        <v>56</v>
      </c>
      <c r="C76" s="40" t="s">
        <v>20</v>
      </c>
      <c r="D76" s="32">
        <f t="shared" si="4"/>
        <v>1408</v>
      </c>
      <c r="E76" s="94"/>
      <c r="F76" s="94">
        <v>771.1</v>
      </c>
      <c r="G76" s="40">
        <v>636.90000000000009</v>
      </c>
      <c r="H76" s="40"/>
    </row>
    <row r="77" spans="1:9" s="17" customFormat="1" ht="20.25" hidden="1" customHeight="1" outlineLevel="2" x14ac:dyDescent="0.25">
      <c r="A77" s="18"/>
      <c r="B77" s="147" t="s">
        <v>214</v>
      </c>
      <c r="C77" s="148" t="s">
        <v>57</v>
      </c>
      <c r="D77" s="156"/>
      <c r="E77" s="73"/>
      <c r="F77" s="73">
        <v>12.3</v>
      </c>
      <c r="G77" s="14">
        <v>17.88</v>
      </c>
      <c r="H77" s="16"/>
    </row>
    <row r="78" spans="1:9" s="17" customFormat="1" ht="20.25" hidden="1" customHeight="1" outlineLevel="2" x14ac:dyDescent="0.25">
      <c r="A78" s="18"/>
      <c r="B78" s="147" t="s">
        <v>215</v>
      </c>
      <c r="C78" s="148" t="s">
        <v>57</v>
      </c>
      <c r="D78" s="156"/>
      <c r="E78" s="73"/>
      <c r="F78" s="73">
        <v>13.05</v>
      </c>
      <c r="G78" s="14">
        <v>19.100000000000001</v>
      </c>
      <c r="H78" s="16"/>
    </row>
    <row r="79" spans="1:9" s="17" customFormat="1" ht="20.25" hidden="1" customHeight="1" outlineLevel="2" x14ac:dyDescent="0.25">
      <c r="A79" s="18"/>
      <c r="B79" s="147" t="s">
        <v>228</v>
      </c>
      <c r="C79" s="148" t="s">
        <v>57</v>
      </c>
      <c r="D79" s="156"/>
      <c r="E79" s="73"/>
      <c r="F79" s="150">
        <v>0.75</v>
      </c>
      <c r="G79" s="40">
        <v>1.2200000000000024</v>
      </c>
      <c r="H79" s="40"/>
      <c r="I79" s="42"/>
    </row>
    <row r="80" spans="1:9" s="42" customFormat="1" ht="32.25" customHeight="1" outlineLevel="1" x14ac:dyDescent="0.25">
      <c r="A80" s="61" t="s">
        <v>103</v>
      </c>
      <c r="B80" s="96" t="s">
        <v>234</v>
      </c>
      <c r="C80" s="66" t="s">
        <v>20</v>
      </c>
      <c r="D80" s="82">
        <f>(5.62+5.62+1.9)*0.75+(8.3*1.4)+(5.8*1.3)</f>
        <v>29.015000000000001</v>
      </c>
      <c r="E80" s="66"/>
      <c r="F80" s="66"/>
      <c r="G80" s="166"/>
      <c r="H80" s="83"/>
    </row>
    <row r="81" spans="1:9" s="42" customFormat="1" ht="33.75" customHeight="1" outlineLevel="1" x14ac:dyDescent="0.25">
      <c r="A81" s="64"/>
      <c r="B81" s="65" t="s">
        <v>241</v>
      </c>
      <c r="C81" s="66" t="s">
        <v>57</v>
      </c>
      <c r="D81" s="82">
        <f>F81+G81</f>
        <v>128</v>
      </c>
      <c r="E81" s="66"/>
      <c r="F81" s="67">
        <v>67.2</v>
      </c>
      <c r="G81" s="167">
        <v>60.8</v>
      </c>
      <c r="H81" s="83"/>
    </row>
    <row r="82" spans="1:9" s="42" customFormat="1" ht="19.5" customHeight="1" outlineLevel="1" collapsed="1" x14ac:dyDescent="0.25">
      <c r="A82" s="64"/>
      <c r="B82" s="65" t="s">
        <v>242</v>
      </c>
      <c r="C82" s="66" t="s">
        <v>57</v>
      </c>
      <c r="D82" s="82">
        <f>F82+G82</f>
        <v>76.400000000000006</v>
      </c>
      <c r="E82" s="66"/>
      <c r="F82" s="67">
        <v>44.4</v>
      </c>
      <c r="G82" s="168">
        <v>32</v>
      </c>
      <c r="H82" s="26"/>
      <c r="I82" s="27"/>
    </row>
    <row r="83" spans="1:9" s="17" customFormat="1" ht="20.25" hidden="1" customHeight="1" outlineLevel="2" x14ac:dyDescent="0.25">
      <c r="A83" s="18"/>
      <c r="B83" s="147" t="s">
        <v>214</v>
      </c>
      <c r="C83" s="148" t="s">
        <v>57</v>
      </c>
      <c r="D83" s="156"/>
      <c r="E83" s="73"/>
      <c r="F83" s="73">
        <v>12.3</v>
      </c>
      <c r="G83" s="164">
        <v>17.88</v>
      </c>
      <c r="H83" s="16"/>
    </row>
    <row r="84" spans="1:9" s="17" customFormat="1" ht="20.25" hidden="1" customHeight="1" outlineLevel="2" x14ac:dyDescent="0.25">
      <c r="A84" s="18"/>
      <c r="B84" s="147" t="s">
        <v>215</v>
      </c>
      <c r="C84" s="148" t="s">
        <v>57</v>
      </c>
      <c r="D84" s="156"/>
      <c r="E84" s="73"/>
      <c r="F84" s="73">
        <v>13.05</v>
      </c>
      <c r="G84" s="164">
        <v>19.100000000000001</v>
      </c>
      <c r="H84" s="16"/>
    </row>
    <row r="85" spans="1:9" s="17" customFormat="1" ht="20.25" hidden="1" customHeight="1" outlineLevel="2" x14ac:dyDescent="0.25">
      <c r="A85" s="18"/>
      <c r="B85" s="147" t="s">
        <v>243</v>
      </c>
      <c r="C85" s="148" t="s">
        <v>57</v>
      </c>
      <c r="D85" s="156"/>
      <c r="E85" s="73"/>
      <c r="F85" s="73">
        <v>0.75</v>
      </c>
      <c r="G85" s="164">
        <v>1.2200000000000024</v>
      </c>
      <c r="H85" s="16"/>
    </row>
    <row r="86" spans="1:9" s="42" customFormat="1" ht="19.5" customHeight="1" outlineLevel="1" x14ac:dyDescent="0.25">
      <c r="A86" s="38"/>
      <c r="B86" s="149" t="s">
        <v>263</v>
      </c>
      <c r="C86" s="40"/>
      <c r="D86" s="41"/>
      <c r="E86" s="58"/>
      <c r="F86" s="58"/>
      <c r="G86" s="169"/>
      <c r="H86" s="98"/>
    </row>
    <row r="87" spans="1:9" s="42" customFormat="1" ht="25.5" customHeight="1" outlineLevel="1" x14ac:dyDescent="0.25">
      <c r="A87" s="47" t="s">
        <v>10</v>
      </c>
      <c r="B87" s="57" t="s">
        <v>216</v>
      </c>
      <c r="C87" s="58"/>
      <c r="D87" s="41">
        <f>F87+G87</f>
        <v>204.39999999999998</v>
      </c>
      <c r="E87" s="40"/>
      <c r="F87" s="81">
        <v>111.6</v>
      </c>
      <c r="G87" s="170">
        <v>92.8</v>
      </c>
      <c r="H87" s="98"/>
    </row>
    <row r="88" spans="1:9" s="42" customFormat="1" ht="30.75" customHeight="1" outlineLevel="1" x14ac:dyDescent="0.25">
      <c r="A88" s="38"/>
      <c r="B88" s="39" t="s">
        <v>231</v>
      </c>
      <c r="C88" s="40" t="s">
        <v>57</v>
      </c>
      <c r="D88" s="41">
        <f t="shared" ref="D88:D95" si="5">F88+G88</f>
        <v>102.19999999999999</v>
      </c>
      <c r="E88" s="58"/>
      <c r="F88" s="58">
        <v>55.8</v>
      </c>
      <c r="G88" s="169">
        <v>46.4</v>
      </c>
      <c r="H88" s="52"/>
      <c r="I88" s="53"/>
    </row>
    <row r="89" spans="1:9" s="42" customFormat="1" ht="22.5" customHeight="1" outlineLevel="1" x14ac:dyDescent="0.25">
      <c r="A89" s="38"/>
      <c r="B89" s="39" t="s">
        <v>232</v>
      </c>
      <c r="C89" s="40" t="s">
        <v>53</v>
      </c>
      <c r="D89" s="41">
        <f t="shared" si="5"/>
        <v>1021.9999999999998</v>
      </c>
      <c r="E89" s="58"/>
      <c r="F89" s="58">
        <v>557.99999999999989</v>
      </c>
      <c r="G89" s="169">
        <v>463.99999999999994</v>
      </c>
      <c r="H89" s="98"/>
    </row>
    <row r="90" spans="1:9" s="42" customFormat="1" ht="33.75" customHeight="1" outlineLevel="1" x14ac:dyDescent="0.25">
      <c r="A90" s="38"/>
      <c r="B90" s="39" t="s">
        <v>262</v>
      </c>
      <c r="C90" s="40" t="s">
        <v>0</v>
      </c>
      <c r="D90" s="41">
        <f t="shared" si="5"/>
        <v>75.714285714285694</v>
      </c>
      <c r="E90" s="60"/>
      <c r="F90" s="60">
        <v>39.999999999999993</v>
      </c>
      <c r="G90" s="169">
        <v>35.714285714285708</v>
      </c>
      <c r="H90" s="98"/>
    </row>
    <row r="91" spans="1:9" s="42" customFormat="1" ht="33.75" customHeight="1" outlineLevel="1" x14ac:dyDescent="0.25">
      <c r="A91" s="38"/>
      <c r="B91" s="39" t="s">
        <v>225</v>
      </c>
      <c r="C91" s="40" t="s">
        <v>0</v>
      </c>
      <c r="D91" s="41">
        <f t="shared" si="5"/>
        <v>5.4589999999999996</v>
      </c>
      <c r="E91" s="60"/>
      <c r="F91" s="60">
        <v>2.8839999999999999</v>
      </c>
      <c r="G91" s="169">
        <v>2.5750000000000002</v>
      </c>
      <c r="H91" s="98"/>
    </row>
    <row r="92" spans="1:9" s="42" customFormat="1" ht="20.25" customHeight="1" outlineLevel="1" x14ac:dyDescent="0.25">
      <c r="A92" s="38"/>
      <c r="B92" s="39" t="s">
        <v>226</v>
      </c>
      <c r="C92" s="40" t="s">
        <v>53</v>
      </c>
      <c r="D92" s="41">
        <f t="shared" si="5"/>
        <v>320</v>
      </c>
      <c r="E92" s="58"/>
      <c r="F92" s="58">
        <v>168</v>
      </c>
      <c r="G92" s="169">
        <v>151.99999999999997</v>
      </c>
      <c r="H92" s="98"/>
    </row>
    <row r="93" spans="1:9" s="42" customFormat="1" ht="20.25" customHeight="1" outlineLevel="1" x14ac:dyDescent="0.25">
      <c r="A93" s="38"/>
      <c r="B93" s="39" t="s">
        <v>140</v>
      </c>
      <c r="C93" s="40" t="s">
        <v>57</v>
      </c>
      <c r="D93" s="41">
        <f t="shared" si="5"/>
        <v>0.2</v>
      </c>
      <c r="E93" s="58"/>
      <c r="F93" s="58">
        <v>0.1</v>
      </c>
      <c r="G93" s="169">
        <v>0.1</v>
      </c>
      <c r="H93" s="98"/>
    </row>
    <row r="94" spans="1:9" s="42" customFormat="1" ht="31.5" customHeight="1" outlineLevel="1" x14ac:dyDescent="0.25">
      <c r="A94" s="38" t="s">
        <v>151</v>
      </c>
      <c r="B94" s="39" t="s">
        <v>224</v>
      </c>
      <c r="C94" s="40" t="s">
        <v>57</v>
      </c>
      <c r="D94" s="41">
        <f t="shared" si="5"/>
        <v>210.76</v>
      </c>
      <c r="E94" s="40"/>
      <c r="F94" s="40">
        <v>110.76</v>
      </c>
      <c r="G94" s="169">
        <v>100</v>
      </c>
      <c r="H94" s="98"/>
    </row>
    <row r="95" spans="1:9" s="42" customFormat="1" ht="22.5" customHeight="1" outlineLevel="1" x14ac:dyDescent="0.25">
      <c r="A95" s="38"/>
      <c r="B95" s="39" t="s">
        <v>223</v>
      </c>
      <c r="C95" s="40" t="s">
        <v>53</v>
      </c>
      <c r="D95" s="41">
        <f t="shared" si="5"/>
        <v>640</v>
      </c>
      <c r="E95" s="40"/>
      <c r="F95" s="40">
        <v>336</v>
      </c>
      <c r="G95" s="169">
        <v>303.99999999999994</v>
      </c>
      <c r="H95" s="98"/>
    </row>
    <row r="96" spans="1:9" s="42" customFormat="1" ht="16.5" customHeight="1" outlineLevel="1" x14ac:dyDescent="0.25">
      <c r="A96" s="38"/>
      <c r="B96" s="149" t="s">
        <v>264</v>
      </c>
      <c r="C96" s="40"/>
      <c r="D96" s="41"/>
      <c r="E96" s="40"/>
      <c r="F96" s="40"/>
      <c r="G96" s="169"/>
      <c r="H96" s="98"/>
    </row>
    <row r="97" spans="1:8" s="42" customFormat="1" ht="19.5" customHeight="1" outlineLevel="1" x14ac:dyDescent="0.25">
      <c r="A97" s="61" t="s">
        <v>14</v>
      </c>
      <c r="B97" s="39" t="s">
        <v>227</v>
      </c>
      <c r="C97" s="40" t="s">
        <v>20</v>
      </c>
      <c r="D97" s="41">
        <f>F97+G97</f>
        <v>102.19999999999999</v>
      </c>
      <c r="E97" s="60"/>
      <c r="F97" s="58">
        <v>55.8</v>
      </c>
      <c r="G97" s="169">
        <v>46.4</v>
      </c>
      <c r="H97" s="98"/>
    </row>
    <row r="98" spans="1:8" s="42" customFormat="1" ht="19.5" customHeight="1" outlineLevel="1" x14ac:dyDescent="0.25">
      <c r="A98" s="61" t="s">
        <v>151</v>
      </c>
      <c r="B98" s="39" t="s">
        <v>265</v>
      </c>
      <c r="C98" s="58" t="s">
        <v>20</v>
      </c>
      <c r="D98" s="41">
        <f t="shared" ref="D98:D103" si="6">F98+G98</f>
        <v>0.3</v>
      </c>
      <c r="E98" s="60"/>
      <c r="F98" s="58">
        <v>0.19999999999999998</v>
      </c>
      <c r="G98" s="169">
        <v>9.9999999999999992E-2</v>
      </c>
      <c r="H98" s="98"/>
    </row>
    <row r="99" spans="1:8" s="42" customFormat="1" ht="19.5" customHeight="1" outlineLevel="1" x14ac:dyDescent="0.25">
      <c r="A99" s="61" t="s">
        <v>151</v>
      </c>
      <c r="B99" s="39" t="s">
        <v>230</v>
      </c>
      <c r="C99" s="58" t="s">
        <v>0</v>
      </c>
      <c r="D99" s="41">
        <f t="shared" si="6"/>
        <v>3.09E-2</v>
      </c>
      <c r="E99" s="94"/>
      <c r="F99" s="94">
        <v>2.06E-2</v>
      </c>
      <c r="G99" s="169">
        <v>1.03E-2</v>
      </c>
      <c r="H99" s="98"/>
    </row>
    <row r="100" spans="1:8" s="42" customFormat="1" ht="20.25" customHeight="1" outlineLevel="1" x14ac:dyDescent="0.25">
      <c r="A100" s="38"/>
      <c r="B100" s="39" t="s">
        <v>140</v>
      </c>
      <c r="C100" s="40" t="s">
        <v>57</v>
      </c>
      <c r="D100" s="41">
        <f t="shared" si="6"/>
        <v>0.2</v>
      </c>
      <c r="E100" s="58"/>
      <c r="F100" s="58">
        <v>0.1</v>
      </c>
      <c r="G100" s="169">
        <v>0.1</v>
      </c>
      <c r="H100" s="98"/>
    </row>
    <row r="101" spans="1:8" s="42" customFormat="1" ht="29.25" customHeight="1" outlineLevel="1" x14ac:dyDescent="0.25">
      <c r="A101" s="38" t="s">
        <v>150</v>
      </c>
      <c r="B101" s="39" t="s">
        <v>221</v>
      </c>
      <c r="C101" s="40" t="s">
        <v>57</v>
      </c>
      <c r="D101" s="41">
        <f t="shared" si="6"/>
        <v>76.400000000000006</v>
      </c>
      <c r="E101" s="45"/>
      <c r="F101" s="45">
        <v>44.4</v>
      </c>
      <c r="G101" s="169">
        <v>32</v>
      </c>
      <c r="H101" s="98"/>
    </row>
    <row r="102" spans="1:8" s="42" customFormat="1" ht="24" customHeight="1" outlineLevel="1" x14ac:dyDescent="0.25">
      <c r="A102" s="38"/>
      <c r="B102" s="39" t="s">
        <v>222</v>
      </c>
      <c r="C102" s="40" t="s">
        <v>53</v>
      </c>
      <c r="D102" s="41">
        <f t="shared" si="6"/>
        <v>120</v>
      </c>
      <c r="E102" s="45"/>
      <c r="F102" s="45">
        <v>40</v>
      </c>
      <c r="G102" s="169">
        <v>80</v>
      </c>
      <c r="H102" s="98"/>
    </row>
    <row r="103" spans="1:8" s="42" customFormat="1" ht="31.5" customHeight="1" outlineLevel="1" x14ac:dyDescent="0.25">
      <c r="A103" s="38" t="s">
        <v>152</v>
      </c>
      <c r="B103" s="62" t="s">
        <v>256</v>
      </c>
      <c r="C103" s="45" t="s">
        <v>20</v>
      </c>
      <c r="D103" s="41">
        <f t="shared" si="6"/>
        <v>0.16</v>
      </c>
      <c r="E103" s="58"/>
      <c r="F103" s="58">
        <v>0.08</v>
      </c>
      <c r="G103" s="169">
        <v>0.08</v>
      </c>
      <c r="H103" s="98"/>
    </row>
    <row r="104" spans="1:8" s="42" customFormat="1" ht="26.25" customHeight="1" outlineLevel="1" x14ac:dyDescent="0.25">
      <c r="A104" s="38"/>
      <c r="B104" s="62" t="s">
        <v>257</v>
      </c>
      <c r="C104" s="45" t="s">
        <v>57</v>
      </c>
      <c r="D104" s="50">
        <f>F104+G104</f>
        <v>32</v>
      </c>
      <c r="E104" s="63"/>
      <c r="F104" s="63">
        <v>16.8</v>
      </c>
      <c r="G104" s="169">
        <v>15.2</v>
      </c>
      <c r="H104" s="98"/>
    </row>
    <row r="105" spans="1:8" s="42" customFormat="1" ht="21" customHeight="1" outlineLevel="1" x14ac:dyDescent="0.25">
      <c r="A105" s="38"/>
      <c r="B105" s="62" t="s">
        <v>142</v>
      </c>
      <c r="C105" s="45" t="s">
        <v>53</v>
      </c>
      <c r="D105" s="41">
        <v>1</v>
      </c>
      <c r="E105" s="63"/>
      <c r="F105" s="63">
        <v>0.5</v>
      </c>
      <c r="G105" s="169">
        <v>0.5</v>
      </c>
      <c r="H105" s="98"/>
    </row>
    <row r="106" spans="1:8" s="42" customFormat="1" ht="21.75" customHeight="1" outlineLevel="1" x14ac:dyDescent="0.25">
      <c r="A106" s="38"/>
      <c r="B106" s="97" t="s">
        <v>245</v>
      </c>
      <c r="C106" s="40"/>
      <c r="D106" s="50"/>
      <c r="E106" s="98"/>
      <c r="F106" s="98"/>
      <c r="G106" s="170"/>
      <c r="H106" s="98"/>
    </row>
    <row r="107" spans="1:8" s="42" customFormat="1" ht="16.5" customHeight="1" outlineLevel="1" x14ac:dyDescent="0.25">
      <c r="A107" s="38" t="s">
        <v>153</v>
      </c>
      <c r="B107" s="57" t="s">
        <v>217</v>
      </c>
      <c r="C107" s="40" t="s">
        <v>148</v>
      </c>
      <c r="D107" s="94">
        <v>6</v>
      </c>
      <c r="E107" s="40"/>
      <c r="F107" s="40">
        <v>3</v>
      </c>
      <c r="G107" s="170">
        <v>3</v>
      </c>
      <c r="H107" s="98"/>
    </row>
    <row r="108" spans="1:8" s="42" customFormat="1" ht="27.75" customHeight="1" outlineLevel="1" x14ac:dyDescent="0.25">
      <c r="A108" s="38" t="s">
        <v>155</v>
      </c>
      <c r="B108" s="57" t="s">
        <v>218</v>
      </c>
      <c r="C108" s="40" t="s">
        <v>20</v>
      </c>
      <c r="D108" s="94">
        <f>F108+G108</f>
        <v>30</v>
      </c>
      <c r="E108" s="40"/>
      <c r="F108" s="40">
        <v>15</v>
      </c>
      <c r="G108" s="170">
        <v>15</v>
      </c>
      <c r="H108" s="98"/>
    </row>
    <row r="109" spans="1:8" s="42" customFormat="1" ht="26.25" customHeight="1" outlineLevel="1" x14ac:dyDescent="0.25">
      <c r="A109" s="43" t="s">
        <v>107</v>
      </c>
      <c r="B109" s="62" t="s">
        <v>134</v>
      </c>
      <c r="C109" s="49" t="s">
        <v>20</v>
      </c>
      <c r="D109" s="94">
        <f t="shared" ref="D109:D116" si="7">F109+G109</f>
        <v>46.260000000000005</v>
      </c>
      <c r="E109" s="79"/>
      <c r="F109" s="138">
        <v>45.620000000000005</v>
      </c>
      <c r="G109" s="170">
        <v>0.64</v>
      </c>
      <c r="H109" s="98"/>
    </row>
    <row r="110" spans="1:8" s="42" customFormat="1" ht="34.5" customHeight="1" outlineLevel="1" x14ac:dyDescent="0.25">
      <c r="A110" s="43"/>
      <c r="B110" s="86" t="s">
        <v>200</v>
      </c>
      <c r="C110" s="49" t="s">
        <v>20</v>
      </c>
      <c r="D110" s="94">
        <f t="shared" si="7"/>
        <v>23.92</v>
      </c>
      <c r="E110" s="40"/>
      <c r="F110" s="40">
        <v>23.92</v>
      </c>
      <c r="G110" s="170">
        <v>0</v>
      </c>
      <c r="H110" s="98"/>
    </row>
    <row r="111" spans="1:8" s="42" customFormat="1" ht="34.5" customHeight="1" outlineLevel="1" x14ac:dyDescent="0.25">
      <c r="A111" s="43"/>
      <c r="B111" s="86" t="s">
        <v>201</v>
      </c>
      <c r="C111" s="49" t="s">
        <v>20</v>
      </c>
      <c r="D111" s="94">
        <f t="shared" si="7"/>
        <v>20.36</v>
      </c>
      <c r="E111" s="40"/>
      <c r="F111" s="40">
        <v>20.36</v>
      </c>
      <c r="G111" s="170">
        <v>0</v>
      </c>
      <c r="H111" s="98"/>
    </row>
    <row r="112" spans="1:8" s="42" customFormat="1" ht="34.5" customHeight="1" outlineLevel="1" x14ac:dyDescent="0.25">
      <c r="A112" s="43"/>
      <c r="B112" s="86" t="s">
        <v>202</v>
      </c>
      <c r="C112" s="49" t="s">
        <v>20</v>
      </c>
      <c r="D112" s="94">
        <f t="shared" si="7"/>
        <v>1.34</v>
      </c>
      <c r="E112" s="40"/>
      <c r="F112" s="40">
        <v>1.34</v>
      </c>
      <c r="G112" s="170">
        <v>0</v>
      </c>
      <c r="H112" s="98"/>
    </row>
    <row r="113" spans="1:9" s="42" customFormat="1" ht="28.5" customHeight="1" outlineLevel="1" x14ac:dyDescent="0.25">
      <c r="A113" s="43"/>
      <c r="B113" s="86" t="s">
        <v>260</v>
      </c>
      <c r="C113" s="49" t="s">
        <v>20</v>
      </c>
      <c r="D113" s="94">
        <f t="shared" si="7"/>
        <v>0.64</v>
      </c>
      <c r="E113" s="40"/>
      <c r="F113" s="40">
        <v>0</v>
      </c>
      <c r="G113" s="170">
        <v>0.64</v>
      </c>
      <c r="H113" s="98"/>
    </row>
    <row r="114" spans="1:9" s="42" customFormat="1" ht="36" customHeight="1" outlineLevel="1" x14ac:dyDescent="0.25">
      <c r="A114" s="43"/>
      <c r="B114" s="86" t="s">
        <v>210</v>
      </c>
      <c r="C114" s="49" t="s">
        <v>20</v>
      </c>
      <c r="D114" s="94">
        <f t="shared" si="7"/>
        <v>20.94</v>
      </c>
      <c r="E114" s="40"/>
      <c r="F114" s="40">
        <v>18.14</v>
      </c>
      <c r="G114" s="170">
        <v>2.8</v>
      </c>
      <c r="H114" s="98"/>
    </row>
    <row r="115" spans="1:9" s="42" customFormat="1" ht="36" customHeight="1" outlineLevel="1" x14ac:dyDescent="0.25">
      <c r="A115" s="43"/>
      <c r="B115" s="86" t="s">
        <v>211</v>
      </c>
      <c r="C115" s="49" t="s">
        <v>20</v>
      </c>
      <c r="D115" s="94">
        <f>F115+G115</f>
        <v>42</v>
      </c>
      <c r="E115" s="40"/>
      <c r="F115" s="40">
        <v>0</v>
      </c>
      <c r="G115" s="170">
        <v>42</v>
      </c>
      <c r="H115" s="98"/>
    </row>
    <row r="116" spans="1:9" s="42" customFormat="1" ht="30.75" customHeight="1" outlineLevel="1" x14ac:dyDescent="0.25">
      <c r="A116" s="38"/>
      <c r="B116" s="39" t="s">
        <v>233</v>
      </c>
      <c r="C116" s="45" t="s">
        <v>53</v>
      </c>
      <c r="D116" s="94">
        <f t="shared" si="7"/>
        <v>764</v>
      </c>
      <c r="E116" s="63"/>
      <c r="F116" s="63">
        <v>443.99999999999994</v>
      </c>
      <c r="G116" s="169">
        <v>320</v>
      </c>
      <c r="H116" s="98"/>
    </row>
    <row r="117" spans="1:9" s="42" customFormat="1" ht="43.5" customHeight="1" outlineLevel="1" x14ac:dyDescent="0.25">
      <c r="A117" s="43" t="s">
        <v>147</v>
      </c>
      <c r="B117" s="78" t="s">
        <v>154</v>
      </c>
      <c r="C117" s="49" t="s">
        <v>144</v>
      </c>
      <c r="D117" s="79">
        <f>F117+G117</f>
        <v>153.9</v>
      </c>
      <c r="E117" s="81"/>
      <c r="F117" s="40">
        <v>103.8</v>
      </c>
      <c r="G117" s="170">
        <v>50.1</v>
      </c>
      <c r="H117" s="98"/>
    </row>
    <row r="118" spans="1:9" s="42" customFormat="1" ht="30.75" customHeight="1" outlineLevel="1" x14ac:dyDescent="0.25">
      <c r="A118" s="43"/>
      <c r="B118" s="48" t="s">
        <v>143</v>
      </c>
      <c r="C118" s="49" t="s">
        <v>144</v>
      </c>
      <c r="D118" s="79">
        <f t="shared" ref="D118:D119" si="8">F118+G118</f>
        <v>0</v>
      </c>
      <c r="E118" s="40"/>
      <c r="F118" s="40">
        <v>0</v>
      </c>
      <c r="G118" s="169">
        <v>0</v>
      </c>
      <c r="H118" s="98"/>
    </row>
    <row r="119" spans="1:9" s="42" customFormat="1" ht="30.75" customHeight="1" outlineLevel="1" x14ac:dyDescent="0.25">
      <c r="A119" s="43"/>
      <c r="B119" s="86" t="s">
        <v>145</v>
      </c>
      <c r="C119" s="142" t="s">
        <v>144</v>
      </c>
      <c r="D119" s="79">
        <f t="shared" si="8"/>
        <v>153.9</v>
      </c>
      <c r="E119" s="60"/>
      <c r="F119" s="58">
        <v>103.8</v>
      </c>
      <c r="G119" s="169">
        <v>50.1</v>
      </c>
      <c r="H119" s="98"/>
    </row>
    <row r="120" spans="1:9" s="42" customFormat="1" ht="24" customHeight="1" x14ac:dyDescent="0.25">
      <c r="A120" s="87" t="s">
        <v>150</v>
      </c>
      <c r="B120" s="88" t="s">
        <v>267</v>
      </c>
      <c r="C120" s="89"/>
      <c r="D120" s="80" t="s">
        <v>138</v>
      </c>
      <c r="E120" s="193" t="s">
        <v>157</v>
      </c>
      <c r="F120" s="193" t="s">
        <v>136</v>
      </c>
      <c r="G120" s="193" t="s">
        <v>137</v>
      </c>
      <c r="H120" s="193" t="s">
        <v>156</v>
      </c>
    </row>
    <row r="121" spans="1:9" s="27" customFormat="1" ht="36" customHeight="1" outlineLevel="1" x14ac:dyDescent="0.25">
      <c r="A121" s="22" t="s">
        <v>9</v>
      </c>
      <c r="B121" s="23" t="s">
        <v>64</v>
      </c>
      <c r="C121" s="24" t="s">
        <v>20</v>
      </c>
      <c r="D121" s="25">
        <v>954.55</v>
      </c>
      <c r="E121" s="145">
        <f>E123</f>
        <v>308.89999999999998</v>
      </c>
      <c r="F121" s="145">
        <f>F123</f>
        <v>18.5</v>
      </c>
      <c r="G121" s="145">
        <f>G123</f>
        <v>608.70000000000005</v>
      </c>
      <c r="H121" s="145">
        <f>H123</f>
        <v>18.5</v>
      </c>
      <c r="I121" s="28"/>
    </row>
    <row r="122" spans="1:9" s="27" customFormat="1" ht="16.5" customHeight="1" outlineLevel="1" x14ac:dyDescent="0.25">
      <c r="A122" s="101"/>
      <c r="B122" s="102"/>
      <c r="C122" s="103" t="s">
        <v>57</v>
      </c>
      <c r="D122" s="104"/>
      <c r="E122" s="146">
        <v>285.60000000000002</v>
      </c>
      <c r="F122" s="146">
        <v>18.5</v>
      </c>
      <c r="G122" s="146">
        <f>524.5+20+19</f>
        <v>563.5</v>
      </c>
      <c r="H122" s="138">
        <v>18.5</v>
      </c>
      <c r="I122" s="106"/>
    </row>
    <row r="123" spans="1:9" s="27" customFormat="1" ht="12.75" outlineLevel="1" x14ac:dyDescent="0.25">
      <c r="A123" s="29" t="s">
        <v>16</v>
      </c>
      <c r="B123" s="30" t="s">
        <v>79</v>
      </c>
      <c r="C123" s="31" t="s">
        <v>20</v>
      </c>
      <c r="D123" s="32">
        <f>E123+F123+G123+H123</f>
        <v>954.6</v>
      </c>
      <c r="E123" s="32">
        <v>308.89999999999998</v>
      </c>
      <c r="F123" s="32">
        <v>18.5</v>
      </c>
      <c r="G123" s="32">
        <v>608.70000000000005</v>
      </c>
      <c r="H123" s="32">
        <v>18.5</v>
      </c>
      <c r="I123" s="107"/>
    </row>
    <row r="124" spans="1:9" s="27" customFormat="1" ht="12.75" outlineLevel="1" x14ac:dyDescent="0.25">
      <c r="A124" s="29"/>
      <c r="B124" s="34" t="s">
        <v>78</v>
      </c>
      <c r="C124" s="35" t="s">
        <v>20</v>
      </c>
      <c r="D124" s="32">
        <f t="shared" ref="D124:D130" si="9">E124+F124+G124+H124</f>
        <v>1050.06</v>
      </c>
      <c r="E124" s="36">
        <f t="shared" ref="E124:H124" si="10">E123*1.1</f>
        <v>339.79</v>
      </c>
      <c r="F124" s="36">
        <f t="shared" si="10"/>
        <v>20.350000000000001</v>
      </c>
      <c r="G124" s="36">
        <f t="shared" si="10"/>
        <v>669.57</v>
      </c>
      <c r="H124" s="36">
        <f t="shared" si="10"/>
        <v>20.350000000000001</v>
      </c>
      <c r="I124" s="107"/>
    </row>
    <row r="125" spans="1:9" s="27" customFormat="1" ht="12.75" outlineLevel="1" x14ac:dyDescent="0.25">
      <c r="A125" s="29" t="s">
        <v>17</v>
      </c>
      <c r="B125" s="37" t="s">
        <v>67</v>
      </c>
      <c r="C125" s="31" t="s">
        <v>20</v>
      </c>
      <c r="D125" s="32">
        <f t="shared" si="9"/>
        <v>887.25</v>
      </c>
      <c r="E125" s="32">
        <v>286.75</v>
      </c>
      <c r="F125" s="31">
        <v>18.5</v>
      </c>
      <c r="G125" s="32">
        <v>563.5</v>
      </c>
      <c r="H125" s="31">
        <v>18.5</v>
      </c>
      <c r="I125" s="107"/>
    </row>
    <row r="126" spans="1:9" s="42" customFormat="1" ht="21" customHeight="1" outlineLevel="1" x14ac:dyDescent="0.25">
      <c r="A126" s="43"/>
      <c r="B126" s="44" t="s">
        <v>123</v>
      </c>
      <c r="C126" s="40" t="s">
        <v>0</v>
      </c>
      <c r="D126" s="32">
        <f t="shared" si="9"/>
        <v>88.724999999999994</v>
      </c>
      <c r="E126" s="41">
        <f>E125/10</f>
        <v>28.675000000000001</v>
      </c>
      <c r="F126" s="41">
        <f t="shared" ref="F126:H126" si="11">F125/10</f>
        <v>1.85</v>
      </c>
      <c r="G126" s="41">
        <f t="shared" si="11"/>
        <v>56.35</v>
      </c>
      <c r="H126" s="41">
        <f t="shared" si="11"/>
        <v>1.85</v>
      </c>
      <c r="I126" s="107"/>
    </row>
    <row r="127" spans="1:9" s="42" customFormat="1" ht="21.75" customHeight="1" outlineLevel="1" x14ac:dyDescent="0.25">
      <c r="A127" s="38"/>
      <c r="B127" s="44" t="s">
        <v>128</v>
      </c>
      <c r="C127" s="40" t="s">
        <v>0</v>
      </c>
      <c r="D127" s="32">
        <f t="shared" si="9"/>
        <v>88.724999999999994</v>
      </c>
      <c r="E127" s="49">
        <f>E125/10</f>
        <v>28.675000000000001</v>
      </c>
      <c r="F127" s="49">
        <f t="shared" ref="F127:H127" si="12">F125/10</f>
        <v>1.85</v>
      </c>
      <c r="G127" s="49">
        <f t="shared" si="12"/>
        <v>56.35</v>
      </c>
      <c r="H127" s="49">
        <f t="shared" si="12"/>
        <v>1.85</v>
      </c>
      <c r="I127" s="107"/>
    </row>
    <row r="128" spans="1:9" s="42" customFormat="1" ht="31.5" customHeight="1" outlineLevel="1" x14ac:dyDescent="0.25">
      <c r="A128" s="38"/>
      <c r="B128" s="57" t="s">
        <v>284</v>
      </c>
      <c r="C128" s="40" t="s">
        <v>53</v>
      </c>
      <c r="D128" s="32">
        <f t="shared" si="9"/>
        <v>6103</v>
      </c>
      <c r="E128" s="143">
        <v>2550</v>
      </c>
      <c r="F128" s="40">
        <v>203</v>
      </c>
      <c r="G128" s="40">
        <v>3100</v>
      </c>
      <c r="H128" s="40">
        <v>250</v>
      </c>
      <c r="I128" s="53"/>
    </row>
    <row r="129" spans="1:9" s="42" customFormat="1" ht="12.75" outlineLevel="1" x14ac:dyDescent="0.25">
      <c r="A129" s="43" t="s">
        <v>30</v>
      </c>
      <c r="B129" s="48" t="s">
        <v>162</v>
      </c>
      <c r="C129" s="49" t="s">
        <v>20</v>
      </c>
      <c r="D129" s="32">
        <f t="shared" si="9"/>
        <v>954.6</v>
      </c>
      <c r="E129" s="49">
        <v>308.89999999999998</v>
      </c>
      <c r="F129" s="49">
        <v>18.5</v>
      </c>
      <c r="G129" s="49">
        <v>608.70000000000005</v>
      </c>
      <c r="H129" s="108">
        <v>18.5</v>
      </c>
      <c r="I129" s="107"/>
    </row>
    <row r="130" spans="1:9" s="42" customFormat="1" ht="18.75" customHeight="1" outlineLevel="1" x14ac:dyDescent="0.25">
      <c r="A130" s="38"/>
      <c r="B130" s="39" t="s">
        <v>26</v>
      </c>
      <c r="C130" s="40" t="s">
        <v>20</v>
      </c>
      <c r="D130" s="32">
        <f t="shared" si="9"/>
        <v>1050.06</v>
      </c>
      <c r="E130" s="41">
        <f>E129*1.1</f>
        <v>339.79</v>
      </c>
      <c r="F130" s="41">
        <f t="shared" ref="F130:H130" si="13">F129*1.1</f>
        <v>20.350000000000001</v>
      </c>
      <c r="G130" s="41">
        <f t="shared" si="13"/>
        <v>669.57</v>
      </c>
      <c r="H130" s="41">
        <f t="shared" si="13"/>
        <v>20.350000000000001</v>
      </c>
      <c r="I130" s="107"/>
    </row>
    <row r="131" spans="1:9" s="42" customFormat="1" ht="12.75" outlineLevel="1" x14ac:dyDescent="0.25">
      <c r="A131" s="43" t="s">
        <v>31</v>
      </c>
      <c r="B131" s="48" t="s">
        <v>133</v>
      </c>
      <c r="C131" s="49" t="s">
        <v>65</v>
      </c>
      <c r="D131" s="109" t="s">
        <v>160</v>
      </c>
      <c r="E131" s="108">
        <f>E125</f>
        <v>286.75</v>
      </c>
      <c r="F131" s="49">
        <f>F125</f>
        <v>18.5</v>
      </c>
      <c r="G131" s="108">
        <f>G125</f>
        <v>563.5</v>
      </c>
      <c r="H131" s="108">
        <f>H125</f>
        <v>18.5</v>
      </c>
      <c r="I131" s="107"/>
    </row>
    <row r="132" spans="1:9" s="42" customFormat="1" ht="12.75" outlineLevel="1" x14ac:dyDescent="0.25">
      <c r="A132" s="43"/>
      <c r="B132" s="39" t="s">
        <v>161</v>
      </c>
      <c r="C132" s="49" t="s">
        <v>0</v>
      </c>
      <c r="D132" s="109"/>
      <c r="E132" s="49"/>
      <c r="F132" s="49"/>
      <c r="G132" s="49"/>
      <c r="H132" s="49"/>
      <c r="I132" s="107"/>
    </row>
    <row r="133" spans="1:9" s="42" customFormat="1" ht="17.25" customHeight="1" outlineLevel="1" x14ac:dyDescent="0.25">
      <c r="A133" s="43"/>
      <c r="B133" s="39" t="s">
        <v>120</v>
      </c>
      <c r="C133" s="40" t="s">
        <v>0</v>
      </c>
      <c r="D133" s="46">
        <f>E133+F133+G133+H133</f>
        <v>110.90625</v>
      </c>
      <c r="E133" s="32">
        <f>E131*0.125</f>
        <v>35.84375</v>
      </c>
      <c r="F133" s="32">
        <f>F131*0.125</f>
        <v>2.3125</v>
      </c>
      <c r="G133" s="32">
        <f>G131*0.125</f>
        <v>70.4375</v>
      </c>
      <c r="H133" s="32">
        <f>H131*0.125</f>
        <v>2.3125</v>
      </c>
      <c r="I133" s="107"/>
    </row>
    <row r="134" spans="1:9" s="42" customFormat="1" ht="12.75" outlineLevel="1" x14ac:dyDescent="0.25">
      <c r="A134" s="43" t="s">
        <v>32</v>
      </c>
      <c r="B134" s="48" t="s">
        <v>59</v>
      </c>
      <c r="C134" s="49" t="s">
        <v>20</v>
      </c>
      <c r="D134" s="46">
        <f t="shared" ref="D134:D142" si="14">E134+F134+G134+H134</f>
        <v>887.25</v>
      </c>
      <c r="E134" s="108">
        <f>E125</f>
        <v>286.75</v>
      </c>
      <c r="F134" s="49">
        <f>F125</f>
        <v>18.5</v>
      </c>
      <c r="G134" s="108">
        <f>G125</f>
        <v>563.5</v>
      </c>
      <c r="H134" s="49">
        <f>H125</f>
        <v>18.5</v>
      </c>
      <c r="I134" s="107"/>
    </row>
    <row r="135" spans="1:9" s="42" customFormat="1" ht="24.75" customHeight="1" outlineLevel="1" x14ac:dyDescent="0.25">
      <c r="A135" s="38"/>
      <c r="B135" s="39" t="s">
        <v>61</v>
      </c>
      <c r="C135" s="40" t="s">
        <v>25</v>
      </c>
      <c r="D135" s="46">
        <f t="shared" si="14"/>
        <v>2683.9312500000001</v>
      </c>
      <c r="E135" s="110">
        <f>E134*1.1*2.75</f>
        <v>867.41875000000005</v>
      </c>
      <c r="F135" s="110">
        <f t="shared" ref="F135:H135" si="15">F134*1.1*2.75</f>
        <v>55.962500000000006</v>
      </c>
      <c r="G135" s="110">
        <f t="shared" si="15"/>
        <v>1704.5875000000001</v>
      </c>
      <c r="H135" s="110">
        <f t="shared" si="15"/>
        <v>55.962500000000006</v>
      </c>
      <c r="I135" s="107"/>
    </row>
    <row r="136" spans="1:9" s="42" customFormat="1" ht="17.25" customHeight="1" outlineLevel="1" x14ac:dyDescent="0.25">
      <c r="A136" s="38"/>
      <c r="B136" s="39" t="s">
        <v>60</v>
      </c>
      <c r="C136" s="40" t="s">
        <v>0</v>
      </c>
      <c r="D136" s="46">
        <f t="shared" si="14"/>
        <v>44.362499999999997</v>
      </c>
      <c r="E136" s="40">
        <f>E134*0.05</f>
        <v>14.3375</v>
      </c>
      <c r="F136" s="40">
        <f t="shared" ref="F136:H136" si="16">F134*0.05</f>
        <v>0.92500000000000004</v>
      </c>
      <c r="G136" s="40">
        <f t="shared" si="16"/>
        <v>28.175000000000001</v>
      </c>
      <c r="H136" s="40">
        <f t="shared" si="16"/>
        <v>0.92500000000000004</v>
      </c>
      <c r="I136" s="107"/>
    </row>
    <row r="137" spans="1:9" s="42" customFormat="1" ht="12.75" outlineLevel="1" x14ac:dyDescent="0.25">
      <c r="A137" s="43" t="s">
        <v>33</v>
      </c>
      <c r="B137" s="48" t="s">
        <v>62</v>
      </c>
      <c r="C137" s="49" t="s">
        <v>20</v>
      </c>
      <c r="D137" s="46">
        <f t="shared" si="14"/>
        <v>887.25</v>
      </c>
      <c r="E137" s="108">
        <f>E134</f>
        <v>286.75</v>
      </c>
      <c r="F137" s="108">
        <f t="shared" ref="F137:H137" si="17">F134</f>
        <v>18.5</v>
      </c>
      <c r="G137" s="108">
        <f t="shared" si="17"/>
        <v>563.5</v>
      </c>
      <c r="H137" s="108">
        <f t="shared" si="17"/>
        <v>18.5</v>
      </c>
      <c r="I137" s="107"/>
    </row>
    <row r="138" spans="1:9" s="42" customFormat="1" ht="18" customHeight="1" outlineLevel="1" x14ac:dyDescent="0.25">
      <c r="A138" s="38"/>
      <c r="B138" s="39" t="s">
        <v>63</v>
      </c>
      <c r="C138" s="40" t="s">
        <v>25</v>
      </c>
      <c r="D138" s="46">
        <f t="shared" si="14"/>
        <v>199.63124999999999</v>
      </c>
      <c r="E138" s="41">
        <f t="shared" ref="E138:H138" si="18">E137*0.225</f>
        <v>64.518749999999997</v>
      </c>
      <c r="F138" s="41">
        <f t="shared" si="18"/>
        <v>4.1625000000000005</v>
      </c>
      <c r="G138" s="41">
        <f t="shared" si="18"/>
        <v>126.78750000000001</v>
      </c>
      <c r="H138" s="41">
        <f t="shared" si="18"/>
        <v>4.1625000000000005</v>
      </c>
      <c r="I138" s="107"/>
    </row>
    <row r="139" spans="1:9" s="42" customFormat="1" ht="18" customHeight="1" outlineLevel="1" x14ac:dyDescent="0.25">
      <c r="A139" s="38"/>
      <c r="B139" s="39"/>
      <c r="C139" s="40"/>
      <c r="D139" s="46">
        <f t="shared" si="14"/>
        <v>1330.875</v>
      </c>
      <c r="E139" s="41">
        <f>E131*1.5</f>
        <v>430.125</v>
      </c>
      <c r="F139" s="41">
        <f t="shared" ref="F139:H139" si="19">F131*1.5</f>
        <v>27.75</v>
      </c>
      <c r="G139" s="41">
        <f t="shared" si="19"/>
        <v>845.25</v>
      </c>
      <c r="H139" s="41">
        <f t="shared" si="19"/>
        <v>27.75</v>
      </c>
      <c r="I139" s="107"/>
    </row>
    <row r="140" spans="1:9" s="42" customFormat="1" ht="36" customHeight="1" outlineLevel="1" x14ac:dyDescent="0.25">
      <c r="A140" s="43" t="s">
        <v>42</v>
      </c>
      <c r="B140" s="111" t="s">
        <v>50</v>
      </c>
      <c r="C140" s="49" t="s">
        <v>20</v>
      </c>
      <c r="D140" s="46">
        <f t="shared" si="14"/>
        <v>1329.1005</v>
      </c>
      <c r="E140" s="60">
        <f>E134*1.498</f>
        <v>429.55149999999998</v>
      </c>
      <c r="F140" s="60">
        <f t="shared" ref="F140:H140" si="20">F134*1.498</f>
        <v>27.713000000000001</v>
      </c>
      <c r="G140" s="60">
        <f t="shared" si="20"/>
        <v>844.12300000000005</v>
      </c>
      <c r="H140" s="60">
        <f t="shared" si="20"/>
        <v>27.713000000000001</v>
      </c>
    </row>
    <row r="141" spans="1:9" s="42" customFormat="1" ht="20.25" customHeight="1" outlineLevel="1" x14ac:dyDescent="0.25">
      <c r="A141" s="38"/>
      <c r="B141" s="39" t="s">
        <v>27</v>
      </c>
      <c r="C141" s="40" t="s">
        <v>20</v>
      </c>
      <c r="D141" s="46">
        <f t="shared" si="14"/>
        <v>1329.1005</v>
      </c>
      <c r="E141" s="60">
        <v>407.15640000000002</v>
      </c>
      <c r="F141" s="81">
        <v>33.330500000000001</v>
      </c>
      <c r="G141" s="81">
        <v>854.15960000000007</v>
      </c>
      <c r="H141" s="81">
        <v>34.454000000000001</v>
      </c>
    </row>
    <row r="142" spans="1:9" s="42" customFormat="1" ht="18.75" customHeight="1" outlineLevel="1" x14ac:dyDescent="0.25">
      <c r="A142" s="38"/>
      <c r="B142" s="39" t="s">
        <v>29</v>
      </c>
      <c r="C142" s="40" t="s">
        <v>20</v>
      </c>
      <c r="D142" s="46">
        <f t="shared" si="14"/>
        <v>1329.1005</v>
      </c>
      <c r="E142" s="60">
        <v>407.15640000000002</v>
      </c>
      <c r="F142" s="81">
        <v>33.330500000000001</v>
      </c>
      <c r="G142" s="81">
        <v>854.15960000000007</v>
      </c>
      <c r="H142" s="81">
        <v>34.454000000000001</v>
      </c>
      <c r="I142" s="17"/>
    </row>
    <row r="143" spans="1:9" s="42" customFormat="1" ht="40.5" customHeight="1" outlineLevel="1" x14ac:dyDescent="0.25">
      <c r="A143" s="38" t="s">
        <v>49</v>
      </c>
      <c r="B143" s="65" t="s">
        <v>252</v>
      </c>
      <c r="C143" s="66" t="s">
        <v>20</v>
      </c>
      <c r="D143" s="112">
        <f>E143+F143+G143+H143</f>
        <v>259.91999999999996</v>
      </c>
      <c r="E143" s="145">
        <f>38.8+37.1+19.8+11.3</f>
        <v>107</v>
      </c>
      <c r="F143" s="66">
        <f>19.7*0.5</f>
        <v>9.85</v>
      </c>
      <c r="G143" s="66">
        <f>100+19.2+18.5</f>
        <v>137.69999999999999</v>
      </c>
      <c r="H143" s="66">
        <f>17.9*0.3</f>
        <v>5.3699999999999992</v>
      </c>
      <c r="I143" s="17"/>
    </row>
    <row r="144" spans="1:9" s="42" customFormat="1" ht="19.5" customHeight="1" outlineLevel="1" x14ac:dyDescent="0.25">
      <c r="A144" s="38"/>
      <c r="B144" s="113"/>
      <c r="C144" s="58" t="s">
        <v>57</v>
      </c>
      <c r="D144" s="94"/>
      <c r="E144" s="143">
        <v>73.13</v>
      </c>
      <c r="F144" s="58">
        <v>19.7</v>
      </c>
      <c r="G144" s="58">
        <f>106+18.5+19.2-11.2</f>
        <v>132.5</v>
      </c>
      <c r="H144" s="58">
        <v>26.2</v>
      </c>
      <c r="I144" s="17"/>
    </row>
    <row r="145" spans="1:9" s="42" customFormat="1" ht="36.75" customHeight="1" outlineLevel="1" x14ac:dyDescent="0.25">
      <c r="A145" s="38"/>
      <c r="B145" s="44" t="s">
        <v>250</v>
      </c>
      <c r="C145" s="40" t="s">
        <v>20</v>
      </c>
      <c r="D145" s="41">
        <f>E145+G145+F145+H145</f>
        <v>128.34</v>
      </c>
      <c r="E145" s="143">
        <v>58</v>
      </c>
      <c r="F145" s="45">
        <v>5</v>
      </c>
      <c r="G145" s="45">
        <v>63.34</v>
      </c>
      <c r="H145" s="45">
        <v>2</v>
      </c>
    </row>
    <row r="146" spans="1:9" s="42" customFormat="1" ht="32.25" customHeight="1" outlineLevel="1" x14ac:dyDescent="0.25">
      <c r="A146" s="38"/>
      <c r="B146" s="57" t="s">
        <v>254</v>
      </c>
      <c r="C146" s="40" t="s">
        <v>57</v>
      </c>
      <c r="D146" s="41">
        <f t="shared" ref="D146:D150" si="21">E146+G146+F146+H146</f>
        <v>251.52999999999997</v>
      </c>
      <c r="E146" s="143">
        <f>E144</f>
        <v>73.13</v>
      </c>
      <c r="F146" s="143">
        <v>19.7</v>
      </c>
      <c r="G146" s="143">
        <f>G144</f>
        <v>132.5</v>
      </c>
      <c r="H146" s="143">
        <f>H144</f>
        <v>26.2</v>
      </c>
    </row>
    <row r="147" spans="1:9" s="42" customFormat="1" ht="30.75" customHeight="1" outlineLevel="1" x14ac:dyDescent="0.25">
      <c r="A147" s="38"/>
      <c r="B147" s="57" t="s">
        <v>163</v>
      </c>
      <c r="C147" s="40" t="s">
        <v>53</v>
      </c>
      <c r="D147" s="41">
        <f t="shared" si="21"/>
        <v>670</v>
      </c>
      <c r="E147" s="143">
        <v>290</v>
      </c>
      <c r="F147" s="40">
        <v>32</v>
      </c>
      <c r="G147" s="40">
        <v>336</v>
      </c>
      <c r="H147" s="40">
        <v>12</v>
      </c>
      <c r="I147" s="53"/>
    </row>
    <row r="148" spans="1:9" s="42" customFormat="1" ht="27.75" customHeight="1" outlineLevel="1" x14ac:dyDescent="0.25">
      <c r="A148" s="38"/>
      <c r="B148" s="57" t="s">
        <v>159</v>
      </c>
      <c r="C148" s="40" t="s">
        <v>57</v>
      </c>
      <c r="D148" s="41">
        <f t="shared" si="21"/>
        <v>267.54000000000002</v>
      </c>
      <c r="E148" s="143">
        <v>113.54</v>
      </c>
      <c r="F148" s="40">
        <v>10.8</v>
      </c>
      <c r="G148" s="40">
        <v>137.69999999999999</v>
      </c>
      <c r="H148" s="40">
        <v>5.5</v>
      </c>
      <c r="I148" s="53"/>
    </row>
    <row r="149" spans="1:9" s="42" customFormat="1" ht="30.75" customHeight="1" outlineLevel="1" x14ac:dyDescent="0.25">
      <c r="A149" s="38"/>
      <c r="B149" s="57" t="s">
        <v>164</v>
      </c>
      <c r="C149" s="40" t="s">
        <v>53</v>
      </c>
      <c r="D149" s="41">
        <f>E149+G149+F149+H149</f>
        <v>1257.6500000000001</v>
      </c>
      <c r="E149" s="143">
        <f>E144/0.2</f>
        <v>365.65</v>
      </c>
      <c r="F149" s="143">
        <f>F144/0.2</f>
        <v>98.499999999999986</v>
      </c>
      <c r="G149" s="143">
        <f>G144/0.2</f>
        <v>662.5</v>
      </c>
      <c r="H149" s="143">
        <f>H144/0.2</f>
        <v>131</v>
      </c>
      <c r="I149" s="53"/>
    </row>
    <row r="150" spans="1:9" s="42" customFormat="1" ht="18.75" customHeight="1" outlineLevel="1" x14ac:dyDescent="0.25">
      <c r="A150" s="61"/>
      <c r="B150" s="57" t="s">
        <v>121</v>
      </c>
      <c r="C150" s="40" t="s">
        <v>20</v>
      </c>
      <c r="D150" s="41">
        <f t="shared" si="21"/>
        <v>26.82</v>
      </c>
      <c r="E150" s="143">
        <v>13</v>
      </c>
      <c r="F150" s="40"/>
      <c r="G150" s="40">
        <v>13.82</v>
      </c>
      <c r="H150" s="40"/>
      <c r="I150" s="53"/>
    </row>
    <row r="151" spans="1:9" s="42" customFormat="1" ht="30.75" customHeight="1" outlineLevel="1" x14ac:dyDescent="0.25">
      <c r="A151" s="38"/>
      <c r="B151" s="57" t="s">
        <v>58</v>
      </c>
      <c r="C151" s="40" t="s">
        <v>148</v>
      </c>
      <c r="D151" s="41">
        <f>E151+G151+F151+H151</f>
        <v>5</v>
      </c>
      <c r="E151" s="143">
        <v>2</v>
      </c>
      <c r="F151" s="143">
        <v>0.5</v>
      </c>
      <c r="G151" s="143">
        <v>2</v>
      </c>
      <c r="H151" s="143">
        <v>0.5</v>
      </c>
      <c r="I151" s="53"/>
    </row>
    <row r="152" spans="1:9" s="42" customFormat="1" ht="24.75" customHeight="1" outlineLevel="1" x14ac:dyDescent="0.25">
      <c r="A152" s="115"/>
      <c r="B152" s="96" t="s">
        <v>253</v>
      </c>
      <c r="C152" s="66" t="s">
        <v>57</v>
      </c>
      <c r="D152" s="112"/>
      <c r="E152" s="145">
        <v>0</v>
      </c>
      <c r="F152" s="66">
        <v>17.7</v>
      </c>
      <c r="G152" s="66">
        <v>11.2</v>
      </c>
      <c r="H152" s="66">
        <v>0</v>
      </c>
      <c r="I152" s="53"/>
    </row>
    <row r="153" spans="1:9" s="42" customFormat="1" ht="18.95" customHeight="1" outlineLevel="1" x14ac:dyDescent="0.25">
      <c r="A153" s="38"/>
      <c r="B153" s="57" t="s">
        <v>172</v>
      </c>
      <c r="C153" s="40" t="s">
        <v>57</v>
      </c>
      <c r="D153" s="94">
        <v>34.15</v>
      </c>
      <c r="E153" s="143">
        <v>14</v>
      </c>
      <c r="F153" s="40">
        <v>3</v>
      </c>
      <c r="G153" s="40">
        <v>15.15</v>
      </c>
      <c r="H153" s="40">
        <v>2</v>
      </c>
      <c r="I153" s="53"/>
    </row>
    <row r="154" spans="1:9" s="42" customFormat="1" ht="18.95" customHeight="1" outlineLevel="1" x14ac:dyDescent="0.25">
      <c r="A154" s="38"/>
      <c r="B154" s="57" t="s">
        <v>173</v>
      </c>
      <c r="C154" s="40" t="s">
        <v>20</v>
      </c>
      <c r="D154" s="94">
        <v>14.08</v>
      </c>
      <c r="E154" s="143">
        <v>6.2</v>
      </c>
      <c r="F154" s="40">
        <v>1</v>
      </c>
      <c r="G154" s="40">
        <v>6.8</v>
      </c>
      <c r="H154" s="40">
        <v>0</v>
      </c>
      <c r="I154" s="53"/>
    </row>
    <row r="155" spans="1:9" s="42" customFormat="1" ht="18.95" customHeight="1" outlineLevel="1" x14ac:dyDescent="0.25">
      <c r="A155" s="38"/>
      <c r="B155" s="57" t="s">
        <v>174</v>
      </c>
      <c r="C155" s="40" t="s">
        <v>57</v>
      </c>
      <c r="D155" s="94">
        <f>E155+F155+G155+H155</f>
        <v>20.85</v>
      </c>
      <c r="E155" s="143">
        <v>8.6999999999999993</v>
      </c>
      <c r="F155" s="40">
        <v>3.35</v>
      </c>
      <c r="G155" s="40">
        <v>8.8000000000000007</v>
      </c>
      <c r="H155" s="40">
        <v>0</v>
      </c>
      <c r="I155" s="53"/>
    </row>
    <row r="156" spans="1:9" s="42" customFormat="1" ht="18.95" customHeight="1" outlineLevel="1" x14ac:dyDescent="0.25">
      <c r="A156" s="38"/>
      <c r="B156" s="57" t="s">
        <v>175</v>
      </c>
      <c r="C156" s="40" t="s">
        <v>53</v>
      </c>
      <c r="D156" s="94">
        <f t="shared" ref="D156:D163" si="22">E156+F156+G156+H156</f>
        <v>109</v>
      </c>
      <c r="E156" s="143">
        <v>51</v>
      </c>
      <c r="F156" s="40">
        <v>3</v>
      </c>
      <c r="G156" s="40">
        <v>55</v>
      </c>
      <c r="H156" s="40">
        <v>0</v>
      </c>
      <c r="I156" s="53"/>
    </row>
    <row r="157" spans="1:9" s="42" customFormat="1" ht="18.95" customHeight="1" outlineLevel="1" x14ac:dyDescent="0.25">
      <c r="A157" s="38"/>
      <c r="B157" s="57" t="s">
        <v>176</v>
      </c>
      <c r="C157" s="40" t="s">
        <v>57</v>
      </c>
      <c r="D157" s="94">
        <f t="shared" si="22"/>
        <v>32.35</v>
      </c>
      <c r="E157" s="143">
        <v>16</v>
      </c>
      <c r="F157" s="40"/>
      <c r="G157" s="40">
        <v>16.350000000000001</v>
      </c>
      <c r="H157" s="40">
        <v>0</v>
      </c>
      <c r="I157" s="53"/>
    </row>
    <row r="158" spans="1:9" s="42" customFormat="1" ht="18.95" customHeight="1" outlineLevel="1" x14ac:dyDescent="0.25">
      <c r="A158" s="38"/>
      <c r="B158" s="57" t="s">
        <v>177</v>
      </c>
      <c r="C158" s="40" t="s">
        <v>20</v>
      </c>
      <c r="D158" s="94">
        <f t="shared" si="22"/>
        <v>1.44</v>
      </c>
      <c r="E158" s="143">
        <v>0.7</v>
      </c>
      <c r="F158" s="40"/>
      <c r="G158" s="40">
        <v>0.74</v>
      </c>
      <c r="H158" s="40">
        <v>0</v>
      </c>
      <c r="I158" s="53"/>
    </row>
    <row r="159" spans="1:9" s="42" customFormat="1" ht="18.95" customHeight="1" outlineLevel="1" x14ac:dyDescent="0.25">
      <c r="A159" s="38"/>
      <c r="B159" s="57" t="s">
        <v>149</v>
      </c>
      <c r="C159" s="40" t="s">
        <v>57</v>
      </c>
      <c r="D159" s="94">
        <f t="shared" si="22"/>
        <v>1.8</v>
      </c>
      <c r="E159" s="143">
        <v>0.9</v>
      </c>
      <c r="F159" s="40"/>
      <c r="G159" s="40">
        <v>0.9</v>
      </c>
      <c r="H159" s="40">
        <v>0</v>
      </c>
      <c r="I159" s="53"/>
    </row>
    <row r="160" spans="1:9" s="42" customFormat="1" ht="18.95" customHeight="1" outlineLevel="1" x14ac:dyDescent="0.25">
      <c r="A160" s="38"/>
      <c r="B160" s="57" t="s">
        <v>178</v>
      </c>
      <c r="C160" s="40" t="s">
        <v>57</v>
      </c>
      <c r="D160" s="94">
        <f t="shared" si="22"/>
        <v>1.8</v>
      </c>
      <c r="E160" s="143">
        <v>0.9</v>
      </c>
      <c r="F160" s="40"/>
      <c r="G160" s="40">
        <v>0.9</v>
      </c>
      <c r="H160" s="40">
        <v>0</v>
      </c>
      <c r="I160" s="53"/>
    </row>
    <row r="161" spans="1:9" s="42" customFormat="1" ht="18.95" customHeight="1" outlineLevel="1" x14ac:dyDescent="0.25">
      <c r="A161" s="38"/>
      <c r="B161" s="57" t="s">
        <v>179</v>
      </c>
      <c r="C161" s="40" t="s">
        <v>20</v>
      </c>
      <c r="D161" s="94">
        <f t="shared" si="22"/>
        <v>3.8099999999999996</v>
      </c>
      <c r="E161" s="143">
        <v>1.8</v>
      </c>
      <c r="F161" s="40"/>
      <c r="G161" s="40">
        <v>2.0099999999999998</v>
      </c>
      <c r="H161" s="40">
        <v>0</v>
      </c>
      <c r="I161" s="53"/>
    </row>
    <row r="162" spans="1:9" s="42" customFormat="1" ht="18.95" customHeight="1" outlineLevel="1" x14ac:dyDescent="0.25">
      <c r="A162" s="38"/>
      <c r="B162" s="57" t="s">
        <v>180</v>
      </c>
      <c r="C162" s="40" t="s">
        <v>53</v>
      </c>
      <c r="D162" s="94">
        <f t="shared" si="22"/>
        <v>72</v>
      </c>
      <c r="E162" s="143">
        <v>25</v>
      </c>
      <c r="F162" s="40">
        <v>12</v>
      </c>
      <c r="G162" s="40">
        <v>25</v>
      </c>
      <c r="H162" s="40">
        <v>10</v>
      </c>
      <c r="I162" s="53"/>
    </row>
    <row r="163" spans="1:9" s="42" customFormat="1" ht="18.95" customHeight="1" outlineLevel="1" x14ac:dyDescent="0.25">
      <c r="A163" s="38"/>
      <c r="B163" s="57" t="s">
        <v>181</v>
      </c>
      <c r="C163" s="40" t="s">
        <v>20</v>
      </c>
      <c r="D163" s="94">
        <f t="shared" si="22"/>
        <v>19</v>
      </c>
      <c r="E163" s="143">
        <v>3</v>
      </c>
      <c r="F163" s="40">
        <v>3</v>
      </c>
      <c r="G163" s="40">
        <v>3</v>
      </c>
      <c r="H163" s="40">
        <v>10</v>
      </c>
      <c r="I163" s="53"/>
    </row>
    <row r="164" spans="1:9" s="42" customFormat="1" ht="19.5" customHeight="1" outlineLevel="1" x14ac:dyDescent="0.25">
      <c r="A164" s="115"/>
      <c r="B164" s="116" t="s">
        <v>251</v>
      </c>
      <c r="C164" s="66"/>
      <c r="D164" s="112"/>
      <c r="E164" s="100"/>
      <c r="F164" s="83"/>
      <c r="G164" s="83"/>
      <c r="H164" s="83"/>
      <c r="I164" s="53"/>
    </row>
    <row r="165" spans="1:9" s="42" customFormat="1" ht="19.5" customHeight="1" outlineLevel="1" x14ac:dyDescent="0.25">
      <c r="A165" s="38"/>
      <c r="B165" s="57" t="s">
        <v>166</v>
      </c>
      <c r="C165" s="40" t="s">
        <v>57</v>
      </c>
      <c r="D165" s="94">
        <v>11.1</v>
      </c>
      <c r="E165" s="114"/>
      <c r="F165" s="40">
        <v>11.1</v>
      </c>
      <c r="G165" s="98"/>
      <c r="H165" s="98"/>
      <c r="I165" s="53"/>
    </row>
    <row r="166" spans="1:9" s="42" customFormat="1" ht="19.5" customHeight="1" outlineLevel="1" x14ac:dyDescent="0.25">
      <c r="A166" s="38"/>
      <c r="B166" s="57" t="s">
        <v>165</v>
      </c>
      <c r="C166" s="40" t="s">
        <v>53</v>
      </c>
      <c r="D166" s="94">
        <v>3</v>
      </c>
      <c r="E166" s="114"/>
      <c r="F166" s="40">
        <v>3</v>
      </c>
      <c r="G166" s="98"/>
      <c r="H166" s="98"/>
      <c r="I166" s="53"/>
    </row>
    <row r="167" spans="1:9" s="42" customFormat="1" ht="19.5" customHeight="1" outlineLevel="1" x14ac:dyDescent="0.25">
      <c r="A167" s="38"/>
      <c r="B167" s="57" t="s">
        <v>167</v>
      </c>
      <c r="C167" s="40" t="s">
        <v>53</v>
      </c>
      <c r="D167" s="94">
        <v>9</v>
      </c>
      <c r="E167" s="114"/>
      <c r="F167" s="40">
        <v>9</v>
      </c>
      <c r="G167" s="98"/>
      <c r="H167" s="98"/>
      <c r="I167" s="53"/>
    </row>
    <row r="168" spans="1:9" s="42" customFormat="1" ht="19.5" customHeight="1" outlineLevel="1" x14ac:dyDescent="0.25">
      <c r="A168" s="38"/>
      <c r="B168" s="57" t="s">
        <v>247</v>
      </c>
      <c r="C168" s="40" t="s">
        <v>53</v>
      </c>
      <c r="D168" s="94">
        <v>3</v>
      </c>
      <c r="E168" s="114"/>
      <c r="F168" s="40">
        <v>3</v>
      </c>
      <c r="G168" s="98"/>
      <c r="H168" s="98"/>
      <c r="I168" s="53"/>
    </row>
    <row r="169" spans="1:9" s="42" customFormat="1" ht="19.5" customHeight="1" outlineLevel="1" x14ac:dyDescent="0.25">
      <c r="A169" s="38"/>
      <c r="B169" s="57" t="s">
        <v>248</v>
      </c>
      <c r="C169" s="40" t="s">
        <v>53</v>
      </c>
      <c r="D169" s="94">
        <v>3</v>
      </c>
      <c r="E169" s="114"/>
      <c r="F169" s="40">
        <v>3</v>
      </c>
      <c r="G169" s="98"/>
      <c r="H169" s="98"/>
      <c r="I169" s="53"/>
    </row>
    <row r="170" spans="1:9" s="42" customFormat="1" ht="19.5" customHeight="1" outlineLevel="1" x14ac:dyDescent="0.25">
      <c r="A170" s="38"/>
      <c r="B170" s="57" t="s">
        <v>249</v>
      </c>
      <c r="C170" s="40" t="s">
        <v>53</v>
      </c>
      <c r="D170" s="94">
        <v>3</v>
      </c>
      <c r="E170" s="114"/>
      <c r="F170" s="40">
        <v>3</v>
      </c>
      <c r="G170" s="98"/>
      <c r="H170" s="98"/>
      <c r="I170" s="53"/>
    </row>
    <row r="171" spans="1:9" s="42" customFormat="1" ht="19.5" customHeight="1" outlineLevel="1" x14ac:dyDescent="0.25">
      <c r="A171" s="38"/>
      <c r="B171" s="57" t="s">
        <v>168</v>
      </c>
      <c r="C171" s="40" t="s">
        <v>53</v>
      </c>
      <c r="D171" s="94">
        <v>3</v>
      </c>
      <c r="E171" s="51"/>
      <c r="F171" s="40">
        <v>3</v>
      </c>
      <c r="G171" s="98"/>
      <c r="H171" s="98"/>
      <c r="I171" s="53"/>
    </row>
    <row r="172" spans="1:9" s="42" customFormat="1" ht="29.25" customHeight="1" outlineLevel="1" x14ac:dyDescent="0.25">
      <c r="A172" s="38"/>
      <c r="B172" s="57" t="s">
        <v>246</v>
      </c>
      <c r="C172" s="40" t="s">
        <v>53</v>
      </c>
      <c r="D172" s="94">
        <v>3</v>
      </c>
      <c r="E172" s="114"/>
      <c r="F172" s="40">
        <v>3</v>
      </c>
      <c r="G172" s="98"/>
      <c r="H172" s="98"/>
      <c r="I172" s="53"/>
    </row>
    <row r="173" spans="1:9" s="42" customFormat="1" ht="30.75" customHeight="1" outlineLevel="1" x14ac:dyDescent="0.25">
      <c r="A173" s="43" t="s">
        <v>117</v>
      </c>
      <c r="B173" s="117" t="s">
        <v>102</v>
      </c>
      <c r="C173" s="49" t="s">
        <v>20</v>
      </c>
      <c r="D173" s="118">
        <v>183</v>
      </c>
      <c r="E173" s="118">
        <f>E174+E175+E176+E177+E178+E179+E180+E181</f>
        <v>115.55680000000001</v>
      </c>
      <c r="F173" s="50"/>
      <c r="G173" s="118">
        <f t="shared" ref="G173:H173" si="23">G174+G175+G176+G177+G178+G179+G180+G181</f>
        <v>41.6</v>
      </c>
      <c r="H173" s="118">
        <f t="shared" si="23"/>
        <v>25.704000000000001</v>
      </c>
      <c r="I173" s="53"/>
    </row>
    <row r="174" spans="1:9" s="42" customFormat="1" ht="32.25" customHeight="1" outlineLevel="1" x14ac:dyDescent="0.25">
      <c r="A174" s="43"/>
      <c r="B174" s="62" t="s">
        <v>203</v>
      </c>
      <c r="C174" s="49" t="s">
        <v>20</v>
      </c>
      <c r="D174" s="79">
        <f>0.63*22.35</f>
        <v>14.080500000000001</v>
      </c>
      <c r="E174" s="79">
        <f>0.63*22.35</f>
        <v>14.080500000000001</v>
      </c>
      <c r="F174" s="40"/>
      <c r="G174" s="40"/>
      <c r="H174" s="40"/>
      <c r="I174" s="53"/>
    </row>
    <row r="175" spans="1:9" s="42" customFormat="1" ht="41.25" customHeight="1" outlineLevel="1" x14ac:dyDescent="0.25">
      <c r="A175" s="43"/>
      <c r="B175" s="62" t="s">
        <v>204</v>
      </c>
      <c r="C175" s="49" t="s">
        <v>20</v>
      </c>
      <c r="D175" s="79">
        <f>E175</f>
        <v>21.9696</v>
      </c>
      <c r="E175" s="79">
        <f>0.69*31.84</f>
        <v>21.9696</v>
      </c>
      <c r="F175" s="40"/>
      <c r="G175" s="40"/>
      <c r="H175" s="81">
        <f>45.9*0.56</f>
        <v>25.704000000000001</v>
      </c>
      <c r="I175" s="53"/>
    </row>
    <row r="176" spans="1:9" s="42" customFormat="1" ht="41.25" customHeight="1" outlineLevel="1" x14ac:dyDescent="0.25">
      <c r="A176" s="43"/>
      <c r="B176" s="62" t="s">
        <v>205</v>
      </c>
      <c r="C176" s="49" t="s">
        <v>20</v>
      </c>
      <c r="D176" s="79">
        <f>0.335*36.02</f>
        <v>12.066700000000003</v>
      </c>
      <c r="E176" s="79">
        <f>0.335*36.02</f>
        <v>12.066700000000003</v>
      </c>
      <c r="F176" s="40"/>
      <c r="G176" s="40"/>
      <c r="H176" s="81"/>
      <c r="I176" s="53"/>
    </row>
    <row r="177" spans="1:9" s="42" customFormat="1" ht="41.25" customHeight="1" outlineLevel="1" x14ac:dyDescent="0.25">
      <c r="A177" s="43"/>
      <c r="B177" s="62" t="s">
        <v>206</v>
      </c>
      <c r="C177" s="49" t="s">
        <v>20</v>
      </c>
      <c r="D177" s="79">
        <f>0.36*25.95</f>
        <v>9.3419999999999987</v>
      </c>
      <c r="E177" s="79">
        <v>9.34</v>
      </c>
      <c r="F177" s="40"/>
      <c r="G177" s="40"/>
      <c r="H177" s="81"/>
      <c r="I177" s="53"/>
    </row>
    <row r="178" spans="1:9" s="42" customFormat="1" ht="41.25" customHeight="1" outlineLevel="1" x14ac:dyDescent="0.25">
      <c r="A178" s="43"/>
      <c r="B178" s="62" t="s">
        <v>207</v>
      </c>
      <c r="C178" s="49" t="s">
        <v>20</v>
      </c>
      <c r="D178" s="79">
        <f>0.54*6.39</f>
        <v>3.4506000000000001</v>
      </c>
      <c r="E178" s="79">
        <v>3.45</v>
      </c>
      <c r="F178" s="40"/>
      <c r="G178" s="40"/>
      <c r="H178" s="81"/>
      <c r="I178" s="53"/>
    </row>
    <row r="179" spans="1:9" s="42" customFormat="1" ht="41.25" customHeight="1" outlineLevel="1" x14ac:dyDescent="0.25">
      <c r="A179" s="43"/>
      <c r="B179" s="62" t="s">
        <v>208</v>
      </c>
      <c r="C179" s="49" t="s">
        <v>20</v>
      </c>
      <c r="D179" s="79">
        <f>0.3*1.7</f>
        <v>0.51</v>
      </c>
      <c r="E179" s="79">
        <v>0.51</v>
      </c>
      <c r="F179" s="40"/>
      <c r="G179" s="40"/>
      <c r="H179" s="81"/>
      <c r="I179" s="53"/>
    </row>
    <row r="180" spans="1:9" s="42" customFormat="1" ht="41.25" customHeight="1" outlineLevel="1" x14ac:dyDescent="0.25">
      <c r="A180" s="43"/>
      <c r="B180" s="62" t="s">
        <v>209</v>
      </c>
      <c r="C180" s="49" t="s">
        <v>20</v>
      </c>
      <c r="D180" s="79">
        <f>1.08*13.09</f>
        <v>14.1372</v>
      </c>
      <c r="E180" s="79">
        <v>14.14</v>
      </c>
      <c r="F180" s="40"/>
      <c r="G180" s="40"/>
      <c r="H180" s="81"/>
      <c r="I180" s="53"/>
    </row>
    <row r="181" spans="1:9" s="42" customFormat="1" ht="41.25" customHeight="1" outlineLevel="1" x14ac:dyDescent="0.25">
      <c r="A181" s="43"/>
      <c r="B181" s="86" t="s">
        <v>212</v>
      </c>
      <c r="C181" s="49" t="s">
        <v>20</v>
      </c>
      <c r="D181" s="79">
        <f>0.6*136</f>
        <v>81.599999999999994</v>
      </c>
      <c r="E181" s="79">
        <v>40</v>
      </c>
      <c r="F181" s="40"/>
      <c r="G181" s="40">
        <v>41.6</v>
      </c>
      <c r="H181" s="81"/>
      <c r="I181" s="53"/>
    </row>
    <row r="182" spans="1:9" s="42" customFormat="1" ht="27" customHeight="1" outlineLevel="1" x14ac:dyDescent="0.25">
      <c r="A182" s="43"/>
      <c r="B182" s="39" t="s">
        <v>233</v>
      </c>
      <c r="C182" s="49" t="s">
        <v>20</v>
      </c>
      <c r="D182" s="79"/>
      <c r="E182" s="119">
        <f>E144/0.2*2</f>
        <v>731.3</v>
      </c>
      <c r="F182" s="119">
        <f>F144/0.2*2</f>
        <v>196.99999999999997</v>
      </c>
      <c r="G182" s="119">
        <f>G144/0.2*2</f>
        <v>1325</v>
      </c>
      <c r="H182" s="119">
        <f>H144/0.2*2</f>
        <v>262</v>
      </c>
      <c r="I182" s="53"/>
    </row>
    <row r="183" spans="1:9" s="42" customFormat="1" ht="43.5" customHeight="1" outlineLevel="1" x14ac:dyDescent="0.25">
      <c r="A183" s="43" t="s">
        <v>184</v>
      </c>
      <c r="B183" s="78" t="s">
        <v>154</v>
      </c>
      <c r="C183" s="49" t="s">
        <v>144</v>
      </c>
      <c r="D183" s="79" t="s">
        <v>171</v>
      </c>
      <c r="E183" s="40">
        <f>E184+E185</f>
        <v>111.61000000000001</v>
      </c>
      <c r="F183" s="40"/>
      <c r="G183" s="40">
        <f t="shared" ref="G183" si="24">G184+G185</f>
        <v>222.27</v>
      </c>
      <c r="H183" s="40">
        <v>0</v>
      </c>
      <c r="I183" s="53"/>
    </row>
    <row r="184" spans="1:9" s="42" customFormat="1" ht="30.75" customHeight="1" outlineLevel="1" x14ac:dyDescent="0.25">
      <c r="A184" s="43"/>
      <c r="B184" s="48" t="s">
        <v>143</v>
      </c>
      <c r="C184" s="49" t="s">
        <v>144</v>
      </c>
      <c r="D184" s="79" t="s">
        <v>169</v>
      </c>
      <c r="E184" s="40">
        <v>84.01</v>
      </c>
      <c r="F184" s="58"/>
      <c r="G184" s="60">
        <v>166</v>
      </c>
      <c r="H184" s="40">
        <v>0</v>
      </c>
      <c r="I184" s="53"/>
    </row>
    <row r="185" spans="1:9" s="42" customFormat="1" ht="30.75" customHeight="1" outlineLevel="1" x14ac:dyDescent="0.25">
      <c r="A185" s="43"/>
      <c r="B185" s="48" t="s">
        <v>145</v>
      </c>
      <c r="C185" s="49" t="s">
        <v>144</v>
      </c>
      <c r="D185" s="79" t="s">
        <v>170</v>
      </c>
      <c r="E185" s="40">
        <v>27.6</v>
      </c>
      <c r="F185" s="40"/>
      <c r="G185" s="81">
        <v>56.27</v>
      </c>
      <c r="H185" s="40">
        <v>0</v>
      </c>
      <c r="I185" s="53"/>
    </row>
    <row r="186" spans="1:9" s="42" customFormat="1" ht="27" customHeight="1" x14ac:dyDescent="0.25">
      <c r="A186" s="87" t="s">
        <v>152</v>
      </c>
      <c r="B186" s="88" t="s">
        <v>268</v>
      </c>
      <c r="C186" s="89"/>
      <c r="D186" s="80" t="s">
        <v>138</v>
      </c>
      <c r="E186" s="90" t="s">
        <v>157</v>
      </c>
      <c r="F186" s="90" t="s">
        <v>136</v>
      </c>
      <c r="G186" s="90" t="s">
        <v>137</v>
      </c>
      <c r="H186" s="90" t="s">
        <v>156</v>
      </c>
    </row>
    <row r="187" spans="1:9" s="27" customFormat="1" ht="31.5" customHeight="1" outlineLevel="1" x14ac:dyDescent="0.25">
      <c r="A187" s="22" t="s">
        <v>11</v>
      </c>
      <c r="B187" s="23" t="s">
        <v>44</v>
      </c>
      <c r="C187" s="24" t="s">
        <v>20</v>
      </c>
      <c r="D187" s="25">
        <v>1016.4</v>
      </c>
      <c r="E187" s="180">
        <v>822.8</v>
      </c>
      <c r="F187" s="181">
        <v>121</v>
      </c>
      <c r="G187" s="182">
        <f>E187+F187</f>
        <v>943.8</v>
      </c>
      <c r="H187" s="139">
        <v>121</v>
      </c>
      <c r="I187" s="28"/>
    </row>
    <row r="188" spans="1:9" s="27" customFormat="1" ht="17.25" customHeight="1" outlineLevel="1" x14ac:dyDescent="0.25">
      <c r="A188" s="101"/>
      <c r="B188" s="102"/>
      <c r="C188" s="103"/>
      <c r="D188" s="104"/>
      <c r="E188" s="179" t="s">
        <v>157</v>
      </c>
      <c r="F188" s="92" t="s">
        <v>136</v>
      </c>
      <c r="G188" s="92" t="s">
        <v>137</v>
      </c>
      <c r="H188" s="92" t="s">
        <v>156</v>
      </c>
      <c r="I188" s="28"/>
    </row>
    <row r="189" spans="1:9" s="42" customFormat="1" ht="21.75" customHeight="1" outlineLevel="1" x14ac:dyDescent="0.25">
      <c r="A189" s="43" t="s">
        <v>34</v>
      </c>
      <c r="B189" s="48" t="s">
        <v>35</v>
      </c>
      <c r="C189" s="49" t="s">
        <v>65</v>
      </c>
      <c r="D189" s="109">
        <f>E189+H189</f>
        <v>1016.4</v>
      </c>
      <c r="E189" s="45">
        <v>892.4</v>
      </c>
      <c r="F189" s="144"/>
      <c r="G189" s="171"/>
      <c r="H189" s="58">
        <v>124</v>
      </c>
      <c r="I189" s="140"/>
    </row>
    <row r="190" spans="1:9" s="42" customFormat="1" ht="18.75" customHeight="1" outlineLevel="1" x14ac:dyDescent="0.25">
      <c r="A190" s="43"/>
      <c r="B190" s="48"/>
      <c r="C190" s="49" t="s">
        <v>0</v>
      </c>
      <c r="D190" s="109">
        <f t="shared" ref="D190:D209" si="25">E190+H190</f>
        <v>127.05</v>
      </c>
      <c r="E190" s="63">
        <f>E189*0.125</f>
        <v>111.55</v>
      </c>
      <c r="F190" s="63"/>
      <c r="G190" s="171"/>
      <c r="H190" s="40">
        <v>15.5</v>
      </c>
    </row>
    <row r="191" spans="1:9" s="42" customFormat="1" ht="17.25" customHeight="1" outlineLevel="1" x14ac:dyDescent="0.25">
      <c r="A191" s="43"/>
      <c r="B191" s="39" t="s">
        <v>66</v>
      </c>
      <c r="C191" s="40" t="s">
        <v>0</v>
      </c>
      <c r="D191" s="109">
        <f t="shared" si="25"/>
        <v>1036.7280000000001</v>
      </c>
      <c r="E191" s="46">
        <f>E189*1.02</f>
        <v>910.24800000000005</v>
      </c>
      <c r="F191" s="46"/>
      <c r="G191" s="172"/>
      <c r="H191" s="40">
        <v>126.48</v>
      </c>
    </row>
    <row r="192" spans="1:9" s="42" customFormat="1" ht="12.75" outlineLevel="1" x14ac:dyDescent="0.25">
      <c r="A192" s="43" t="s">
        <v>36</v>
      </c>
      <c r="B192" s="48" t="s">
        <v>28</v>
      </c>
      <c r="C192" s="49" t="s">
        <v>20</v>
      </c>
      <c r="D192" s="109">
        <f t="shared" si="25"/>
        <v>1016.4</v>
      </c>
      <c r="E192" s="45">
        <f>E189</f>
        <v>892.4</v>
      </c>
      <c r="F192" s="144"/>
      <c r="G192" s="172"/>
      <c r="H192" s="40">
        <v>124</v>
      </c>
    </row>
    <row r="193" spans="1:8" s="42" customFormat="1" ht="18" customHeight="1" outlineLevel="1" x14ac:dyDescent="0.25">
      <c r="A193" s="38"/>
      <c r="B193" s="39" t="s">
        <v>68</v>
      </c>
      <c r="C193" s="40" t="s">
        <v>25</v>
      </c>
      <c r="D193" s="109">
        <f t="shared" si="25"/>
        <v>3074.61</v>
      </c>
      <c r="E193" s="46">
        <f>E192*1.1*2.75</f>
        <v>2699.51</v>
      </c>
      <c r="F193" s="46"/>
      <c r="G193" s="172"/>
      <c r="H193" s="40">
        <v>375.1</v>
      </c>
    </row>
    <row r="194" spans="1:8" s="42" customFormat="1" ht="17.25" customHeight="1" outlineLevel="1" x14ac:dyDescent="0.25">
      <c r="A194" s="38"/>
      <c r="B194" s="39" t="s">
        <v>60</v>
      </c>
      <c r="C194" s="45" t="s">
        <v>0</v>
      </c>
      <c r="D194" s="109">
        <f t="shared" si="25"/>
        <v>50.820000000000007</v>
      </c>
      <c r="E194" s="45">
        <f>E192*0.05</f>
        <v>44.620000000000005</v>
      </c>
      <c r="F194" s="45"/>
      <c r="G194" s="172"/>
      <c r="H194" s="40">
        <v>6.2</v>
      </c>
    </row>
    <row r="195" spans="1:8" s="42" customFormat="1" ht="20.25" customHeight="1" outlineLevel="1" x14ac:dyDescent="0.25">
      <c r="A195" s="43" t="s">
        <v>37</v>
      </c>
      <c r="B195" s="48" t="s">
        <v>69</v>
      </c>
      <c r="C195" s="49" t="s">
        <v>20</v>
      </c>
      <c r="D195" s="109">
        <f t="shared" si="25"/>
        <v>1016.4</v>
      </c>
      <c r="E195" s="45">
        <f>E192</f>
        <v>892.4</v>
      </c>
      <c r="F195" s="144"/>
      <c r="G195" s="172"/>
      <c r="H195" s="40">
        <v>124</v>
      </c>
    </row>
    <row r="196" spans="1:8" s="42" customFormat="1" ht="18" customHeight="1" outlineLevel="1" x14ac:dyDescent="0.25">
      <c r="A196" s="38"/>
      <c r="B196" s="39" t="s">
        <v>63</v>
      </c>
      <c r="C196" s="40" t="s">
        <v>25</v>
      </c>
      <c r="D196" s="109">
        <f t="shared" si="25"/>
        <v>228.69</v>
      </c>
      <c r="E196" s="46">
        <f t="shared" ref="E196" si="26">E195*0.225</f>
        <v>200.79</v>
      </c>
      <c r="F196" s="46"/>
      <c r="G196" s="172"/>
      <c r="H196" s="40">
        <v>27.900000000000002</v>
      </c>
    </row>
    <row r="197" spans="1:8" s="42" customFormat="1" ht="45.75" customHeight="1" outlineLevel="1" x14ac:dyDescent="0.25">
      <c r="A197" s="43" t="s">
        <v>38</v>
      </c>
      <c r="B197" s="111" t="s">
        <v>258</v>
      </c>
      <c r="C197" s="49" t="s">
        <v>20</v>
      </c>
      <c r="D197" s="109">
        <f t="shared" si="25"/>
        <v>1016.4</v>
      </c>
      <c r="E197" s="45">
        <f>E189</f>
        <v>892.4</v>
      </c>
      <c r="F197" s="144"/>
      <c r="G197" s="173"/>
      <c r="H197" s="40">
        <v>124</v>
      </c>
    </row>
    <row r="198" spans="1:8" s="42" customFormat="1" ht="27" customHeight="1" outlineLevel="1" x14ac:dyDescent="0.25">
      <c r="A198" s="38"/>
      <c r="B198" s="39" t="s">
        <v>129</v>
      </c>
      <c r="C198" s="40" t="s">
        <v>20</v>
      </c>
      <c r="D198" s="109">
        <f t="shared" si="25"/>
        <v>1118.0400000000002</v>
      </c>
      <c r="E198" s="41">
        <f t="shared" ref="E198" si="27">E197*1.1</f>
        <v>981.6400000000001</v>
      </c>
      <c r="F198" s="41"/>
      <c r="G198" s="173"/>
      <c r="H198" s="40">
        <v>136.4</v>
      </c>
    </row>
    <row r="199" spans="1:8" s="42" customFormat="1" ht="18.75" customHeight="1" outlineLevel="1" x14ac:dyDescent="0.25">
      <c r="A199" s="38"/>
      <c r="B199" s="39" t="s">
        <v>130</v>
      </c>
      <c r="C199" s="40" t="s">
        <v>20</v>
      </c>
      <c r="D199" s="109">
        <f t="shared" si="25"/>
        <v>1118.0400000000002</v>
      </c>
      <c r="E199" s="41">
        <f t="shared" ref="E199" si="28">E197*1.1</f>
        <v>981.6400000000001</v>
      </c>
      <c r="F199" s="41"/>
      <c r="G199" s="173"/>
      <c r="H199" s="40">
        <v>136.4</v>
      </c>
    </row>
    <row r="200" spans="1:8" s="42" customFormat="1" ht="18.75" customHeight="1" outlineLevel="1" x14ac:dyDescent="0.25">
      <c r="A200" s="43" t="s">
        <v>39</v>
      </c>
      <c r="B200" s="48" t="s">
        <v>70</v>
      </c>
      <c r="C200" s="49" t="s">
        <v>20</v>
      </c>
      <c r="D200" s="109">
        <f t="shared" si="25"/>
        <v>1016.4</v>
      </c>
      <c r="E200" s="45">
        <f>E197</f>
        <v>892.4</v>
      </c>
      <c r="F200" s="144"/>
      <c r="G200" s="173"/>
      <c r="H200" s="40">
        <v>124</v>
      </c>
    </row>
    <row r="201" spans="1:8" s="42" customFormat="1" ht="23.25" customHeight="1" outlineLevel="1" x14ac:dyDescent="0.25">
      <c r="A201" s="43"/>
      <c r="B201" s="39" t="s">
        <v>182</v>
      </c>
      <c r="C201" s="40" t="s">
        <v>0</v>
      </c>
      <c r="D201" s="109">
        <f t="shared" si="25"/>
        <v>203.28000000000003</v>
      </c>
      <c r="E201" s="41">
        <f t="shared" ref="E201" si="29">E200*0.1*2</f>
        <v>178.48000000000002</v>
      </c>
      <c r="F201" s="41"/>
      <c r="G201" s="173"/>
      <c r="H201" s="40">
        <v>24.8</v>
      </c>
    </row>
    <row r="202" spans="1:8" s="42" customFormat="1" ht="27.75" customHeight="1" outlineLevel="1" x14ac:dyDescent="0.25">
      <c r="A202" s="43"/>
      <c r="B202" s="39" t="s">
        <v>131</v>
      </c>
      <c r="C202" s="40" t="s">
        <v>20</v>
      </c>
      <c r="D202" s="109">
        <f t="shared" si="25"/>
        <v>1118.0400000000002</v>
      </c>
      <c r="E202" s="41">
        <f t="shared" ref="E202" si="30">E200*1.1</f>
        <v>981.6400000000001</v>
      </c>
      <c r="F202" s="41"/>
      <c r="G202" s="173"/>
      <c r="H202" s="40">
        <v>136.4</v>
      </c>
    </row>
    <row r="203" spans="1:8" s="42" customFormat="1" ht="18.75" customHeight="1" outlineLevel="1" x14ac:dyDescent="0.25">
      <c r="A203" s="43" t="s">
        <v>39</v>
      </c>
      <c r="B203" s="48" t="s">
        <v>72</v>
      </c>
      <c r="C203" s="49" t="s">
        <v>20</v>
      </c>
      <c r="D203" s="109">
        <f t="shared" si="25"/>
        <v>1016.4</v>
      </c>
      <c r="E203" s="45">
        <f>E197</f>
        <v>892.4</v>
      </c>
      <c r="F203" s="144"/>
      <c r="G203" s="173"/>
      <c r="H203" s="40">
        <v>124</v>
      </c>
    </row>
    <row r="204" spans="1:8" s="42" customFormat="1" ht="18.75" customHeight="1" outlineLevel="1" x14ac:dyDescent="0.25">
      <c r="A204" s="43"/>
      <c r="B204" s="39" t="s">
        <v>71</v>
      </c>
      <c r="C204" s="40" t="s">
        <v>0</v>
      </c>
      <c r="D204" s="109">
        <f t="shared" si="25"/>
        <v>213.44399999999999</v>
      </c>
      <c r="E204" s="41">
        <f t="shared" ref="E204" si="31">E203*0.21</f>
        <v>187.404</v>
      </c>
      <c r="F204" s="41"/>
      <c r="G204" s="173"/>
      <c r="H204" s="40">
        <v>26.04</v>
      </c>
    </row>
    <row r="205" spans="1:8" s="42" customFormat="1" ht="24.75" customHeight="1" outlineLevel="1" x14ac:dyDescent="0.25">
      <c r="A205" s="43" t="s">
        <v>40</v>
      </c>
      <c r="B205" s="48" t="s">
        <v>74</v>
      </c>
      <c r="C205" s="49" t="s">
        <v>20</v>
      </c>
      <c r="D205" s="109">
        <f t="shared" si="25"/>
        <v>1016.4</v>
      </c>
      <c r="E205" s="45">
        <f>E203</f>
        <v>892.4</v>
      </c>
      <c r="F205" s="144"/>
      <c r="G205" s="173"/>
      <c r="H205" s="40">
        <v>124</v>
      </c>
    </row>
    <row r="206" spans="1:8" s="42" customFormat="1" ht="21" customHeight="1" outlineLevel="1" x14ac:dyDescent="0.25">
      <c r="A206" s="43"/>
      <c r="B206" s="39" t="s">
        <v>61</v>
      </c>
      <c r="C206" s="49" t="s">
        <v>25</v>
      </c>
      <c r="D206" s="109">
        <f t="shared" si="25"/>
        <v>3074.61</v>
      </c>
      <c r="E206" s="79">
        <f t="shared" ref="E206" si="32">E205*1.1*2.75</f>
        <v>2699.51</v>
      </c>
      <c r="F206" s="79"/>
      <c r="G206" s="173"/>
      <c r="H206" s="40">
        <v>375.1</v>
      </c>
    </row>
    <row r="207" spans="1:8" s="42" customFormat="1" ht="18.75" customHeight="1" outlineLevel="1" x14ac:dyDescent="0.25">
      <c r="A207" s="43"/>
      <c r="B207" s="39" t="s">
        <v>73</v>
      </c>
      <c r="C207" s="40" t="s">
        <v>0</v>
      </c>
      <c r="D207" s="109">
        <f t="shared" si="25"/>
        <v>51.836400000000005</v>
      </c>
      <c r="E207" s="41">
        <f t="shared" ref="E207" si="33">E205*0.05*1.02</f>
        <v>45.512400000000007</v>
      </c>
      <c r="F207" s="41"/>
      <c r="G207" s="173"/>
      <c r="H207" s="40">
        <v>6.3240000000000007</v>
      </c>
    </row>
    <row r="208" spans="1:8" s="42" customFormat="1" ht="18.75" customHeight="1" outlineLevel="1" x14ac:dyDescent="0.25">
      <c r="A208" s="43" t="s">
        <v>41</v>
      </c>
      <c r="B208" s="48" t="s">
        <v>75</v>
      </c>
      <c r="C208" s="49" t="s">
        <v>20</v>
      </c>
      <c r="D208" s="109">
        <f t="shared" si="25"/>
        <v>1016.4</v>
      </c>
      <c r="E208" s="45">
        <f>E205</f>
        <v>892.4</v>
      </c>
      <c r="F208" s="144"/>
      <c r="G208" s="174"/>
      <c r="H208" s="40">
        <v>124</v>
      </c>
    </row>
    <row r="209" spans="1:8" s="42" customFormat="1" ht="18.75" customHeight="1" outlineLevel="1" x14ac:dyDescent="0.25">
      <c r="A209" s="43"/>
      <c r="B209" s="39" t="s">
        <v>76</v>
      </c>
      <c r="C209" s="40" t="s">
        <v>20</v>
      </c>
      <c r="D209" s="109">
        <f t="shared" si="25"/>
        <v>1118.0400000000002</v>
      </c>
      <c r="E209" s="41">
        <f t="shared" ref="E209" si="34">E208*1.1</f>
        <v>981.6400000000001</v>
      </c>
      <c r="F209" s="41"/>
      <c r="G209" s="173"/>
      <c r="H209" s="40">
        <v>136.4</v>
      </c>
    </row>
    <row r="210" spans="1:8" s="42" customFormat="1" ht="64.5" customHeight="1" outlineLevel="1" collapsed="1" x14ac:dyDescent="0.25">
      <c r="A210" s="43" t="s">
        <v>41</v>
      </c>
      <c r="B210" s="48" t="s">
        <v>97</v>
      </c>
      <c r="C210" s="49" t="s">
        <v>20</v>
      </c>
      <c r="D210" s="109">
        <f>E210+H210</f>
        <v>1015.4</v>
      </c>
      <c r="E210" s="58">
        <v>894.4</v>
      </c>
      <c r="F210" s="138"/>
      <c r="G210" s="175"/>
      <c r="H210" s="40">
        <v>121</v>
      </c>
    </row>
    <row r="211" spans="1:8" s="42" customFormat="1" ht="18.75" hidden="1" customHeight="1" outlineLevel="2" x14ac:dyDescent="0.25">
      <c r="A211" s="43"/>
      <c r="B211" s="39" t="s">
        <v>77</v>
      </c>
      <c r="C211" s="40" t="s">
        <v>20</v>
      </c>
      <c r="D211" s="109">
        <f>E211+H211</f>
        <v>1116.94</v>
      </c>
      <c r="E211" s="41">
        <f t="shared" ref="E211" si="35">E210*1.1</f>
        <v>983.84</v>
      </c>
      <c r="F211" s="41"/>
      <c r="G211" s="165"/>
      <c r="H211" s="40">
        <v>133.10000000000002</v>
      </c>
    </row>
    <row r="212" spans="1:8" s="42" customFormat="1" ht="18.75" hidden="1" customHeight="1" outlineLevel="2" x14ac:dyDescent="0.25">
      <c r="A212" s="43"/>
      <c r="B212" s="95" t="s">
        <v>108</v>
      </c>
      <c r="C212" s="40"/>
      <c r="D212" s="41"/>
      <c r="E212" s="98"/>
      <c r="F212" s="98"/>
      <c r="G212" s="163"/>
      <c r="H212" s="40"/>
    </row>
    <row r="213" spans="1:8" s="42" customFormat="1" ht="18.75" hidden="1" customHeight="1" outlineLevel="2" x14ac:dyDescent="0.25">
      <c r="A213" s="43"/>
      <c r="B213" s="95" t="s">
        <v>109</v>
      </c>
      <c r="C213" s="40"/>
      <c r="D213" s="41"/>
      <c r="E213" s="98"/>
      <c r="F213" s="98"/>
      <c r="G213" s="163"/>
      <c r="H213" s="40"/>
    </row>
    <row r="214" spans="1:8" s="42" customFormat="1" ht="18.75" hidden="1" customHeight="1" outlineLevel="2" x14ac:dyDescent="0.25">
      <c r="A214" s="43"/>
      <c r="B214" s="95" t="s">
        <v>110</v>
      </c>
      <c r="C214" s="40"/>
      <c r="D214" s="41"/>
      <c r="E214" s="98"/>
      <c r="F214" s="98"/>
      <c r="G214" s="163"/>
      <c r="H214" s="40"/>
    </row>
    <row r="215" spans="1:8" s="42" customFormat="1" ht="18.75" hidden="1" customHeight="1" outlineLevel="2" x14ac:dyDescent="0.25">
      <c r="A215" s="43"/>
      <c r="B215" s="95" t="s">
        <v>111</v>
      </c>
      <c r="C215" s="40"/>
      <c r="D215" s="41"/>
      <c r="E215" s="98"/>
      <c r="F215" s="98"/>
      <c r="G215" s="163"/>
      <c r="H215" s="40"/>
    </row>
    <row r="216" spans="1:8" s="42" customFormat="1" ht="18.75" hidden="1" customHeight="1" outlineLevel="2" x14ac:dyDescent="0.25">
      <c r="A216" s="43"/>
      <c r="B216" s="95" t="s">
        <v>112</v>
      </c>
      <c r="C216" s="40"/>
      <c r="D216" s="41"/>
      <c r="E216" s="98"/>
      <c r="F216" s="98"/>
      <c r="G216" s="163"/>
      <c r="H216" s="40"/>
    </row>
    <row r="217" spans="1:8" s="42" customFormat="1" ht="18.75" hidden="1" customHeight="1" outlineLevel="2" x14ac:dyDescent="0.25">
      <c r="A217" s="43"/>
      <c r="B217" s="95" t="s">
        <v>113</v>
      </c>
      <c r="C217" s="40"/>
      <c r="D217" s="41"/>
      <c r="E217" s="98"/>
      <c r="F217" s="98"/>
      <c r="G217" s="163"/>
      <c r="H217" s="40"/>
    </row>
    <row r="218" spans="1:8" s="42" customFormat="1" ht="18.75" hidden="1" customHeight="1" outlineLevel="2" x14ac:dyDescent="0.25">
      <c r="A218" s="43"/>
      <c r="B218" s="95" t="s">
        <v>114</v>
      </c>
      <c r="C218" s="40"/>
      <c r="D218" s="41"/>
      <c r="E218" s="98"/>
      <c r="F218" s="98"/>
      <c r="G218" s="163"/>
      <c r="H218" s="40"/>
    </row>
    <row r="219" spans="1:8" s="42" customFormat="1" ht="18.75" hidden="1" customHeight="1" outlineLevel="2" x14ac:dyDescent="0.25">
      <c r="A219" s="43"/>
      <c r="B219" s="95" t="s">
        <v>115</v>
      </c>
      <c r="C219" s="40"/>
      <c r="D219" s="41"/>
      <c r="E219" s="98"/>
      <c r="F219" s="98"/>
      <c r="G219" s="163"/>
      <c r="H219" s="40"/>
    </row>
    <row r="220" spans="1:8" s="42" customFormat="1" ht="18.75" hidden="1" customHeight="1" outlineLevel="2" x14ac:dyDescent="0.25">
      <c r="A220" s="43"/>
      <c r="B220" s="95" t="s">
        <v>183</v>
      </c>
      <c r="C220" s="40"/>
      <c r="D220" s="41"/>
      <c r="E220" s="98"/>
      <c r="F220" s="98"/>
      <c r="G220" s="163"/>
      <c r="H220" s="40"/>
    </row>
    <row r="221" spans="1:8" s="42" customFormat="1" ht="18.75" customHeight="1" outlineLevel="1" x14ac:dyDescent="0.25">
      <c r="A221" s="43"/>
      <c r="B221" s="120" t="s">
        <v>270</v>
      </c>
      <c r="C221" s="66" t="s">
        <v>57</v>
      </c>
      <c r="D221" s="82">
        <f>E221+H221</f>
        <v>105.05000000000001</v>
      </c>
      <c r="E221" s="66">
        <v>69.95</v>
      </c>
      <c r="F221" s="66"/>
      <c r="G221" s="166"/>
      <c r="H221" s="66">
        <v>35.1</v>
      </c>
    </row>
    <row r="222" spans="1:8" s="42" customFormat="1" ht="18.75" customHeight="1" outlineLevel="1" x14ac:dyDescent="0.25">
      <c r="A222" s="43"/>
      <c r="B222" s="57" t="s">
        <v>269</v>
      </c>
      <c r="C222" s="138" t="s">
        <v>20</v>
      </c>
      <c r="D222" s="41">
        <f>E222+H222</f>
        <v>94.545000000000016</v>
      </c>
      <c r="E222" s="143">
        <f>E221*0.9</f>
        <v>62.955000000000005</v>
      </c>
      <c r="F222" s="143"/>
      <c r="G222" s="176"/>
      <c r="H222" s="40">
        <v>31.590000000000003</v>
      </c>
    </row>
    <row r="223" spans="1:8" s="42" customFormat="1" ht="18.75" customHeight="1" outlineLevel="1" x14ac:dyDescent="0.25">
      <c r="A223" s="43" t="s">
        <v>14</v>
      </c>
      <c r="B223" s="57" t="s">
        <v>271</v>
      </c>
      <c r="C223" s="138" t="s">
        <v>20</v>
      </c>
      <c r="D223" s="41">
        <f t="shared" ref="D223:D226" si="36">E223+H223</f>
        <v>31.515000000000001</v>
      </c>
      <c r="E223" s="143">
        <f>E221*0.3</f>
        <v>20.984999999999999</v>
      </c>
      <c r="F223" s="143"/>
      <c r="G223" s="176"/>
      <c r="H223" s="40">
        <v>10.53</v>
      </c>
    </row>
    <row r="224" spans="1:8" s="42" customFormat="1" ht="18.75" customHeight="1" outlineLevel="1" x14ac:dyDescent="0.25">
      <c r="A224" s="43" t="s">
        <v>151</v>
      </c>
      <c r="B224" s="62" t="s">
        <v>272</v>
      </c>
      <c r="C224" s="138" t="s">
        <v>20</v>
      </c>
      <c r="D224" s="41">
        <f t="shared" si="36"/>
        <v>94.545000000000002</v>
      </c>
      <c r="E224" s="143">
        <f>E222</f>
        <v>62.955000000000005</v>
      </c>
      <c r="F224" s="138"/>
      <c r="G224" s="176"/>
      <c r="H224" s="40">
        <v>31.59</v>
      </c>
    </row>
    <row r="225" spans="1:8" s="42" customFormat="1" ht="18.75" customHeight="1" outlineLevel="1" x14ac:dyDescent="0.25">
      <c r="A225" s="43" t="s">
        <v>150</v>
      </c>
      <c r="B225" s="95" t="s">
        <v>273</v>
      </c>
      <c r="C225" s="138" t="s">
        <v>0</v>
      </c>
      <c r="D225" s="41">
        <f t="shared" si="36"/>
        <v>9.4545000000000012</v>
      </c>
      <c r="E225" s="143">
        <f>E222*0.1</f>
        <v>6.2955000000000005</v>
      </c>
      <c r="F225" s="143"/>
      <c r="G225" s="176"/>
      <c r="H225" s="40">
        <v>3.1590000000000007</v>
      </c>
    </row>
    <row r="226" spans="1:8" s="42" customFormat="1" ht="37.5" customHeight="1" outlineLevel="1" x14ac:dyDescent="0.25">
      <c r="A226" s="43"/>
      <c r="B226" s="95" t="s">
        <v>276</v>
      </c>
      <c r="C226" s="138" t="s">
        <v>20</v>
      </c>
      <c r="D226" s="41">
        <f t="shared" si="36"/>
        <v>73.534999999999997</v>
      </c>
      <c r="E226" s="143">
        <f>E221*0.7</f>
        <v>48.964999999999996</v>
      </c>
      <c r="F226" s="143"/>
      <c r="G226" s="176"/>
      <c r="H226" s="40">
        <v>24.57</v>
      </c>
    </row>
    <row r="227" spans="1:8" s="42" customFormat="1" ht="18" customHeight="1" outlineLevel="1" x14ac:dyDescent="0.25">
      <c r="A227" s="64"/>
      <c r="B227" s="120" t="s">
        <v>275</v>
      </c>
      <c r="C227" s="139" t="s">
        <v>57</v>
      </c>
      <c r="D227" s="82">
        <f>E227+H227</f>
        <v>36.799999999999997</v>
      </c>
      <c r="E227" s="145">
        <v>36.799999999999997</v>
      </c>
      <c r="F227" s="145"/>
      <c r="G227" s="177"/>
      <c r="H227" s="66"/>
    </row>
    <row r="228" spans="1:8" s="42" customFormat="1" ht="18" customHeight="1" outlineLevel="1" x14ac:dyDescent="0.25">
      <c r="A228" s="43"/>
      <c r="B228" s="95"/>
      <c r="C228" s="138" t="s">
        <v>20</v>
      </c>
      <c r="D228" s="41">
        <f>E228+H228</f>
        <v>201.66399999999999</v>
      </c>
      <c r="E228" s="143">
        <f>E227*5.48</f>
        <v>201.66399999999999</v>
      </c>
      <c r="F228" s="143"/>
      <c r="G228" s="176"/>
      <c r="H228" s="40"/>
    </row>
    <row r="229" spans="1:8" s="42" customFormat="1" ht="18" customHeight="1" outlineLevel="1" x14ac:dyDescent="0.25">
      <c r="A229" s="43" t="s">
        <v>14</v>
      </c>
      <c r="B229" s="57" t="s">
        <v>271</v>
      </c>
      <c r="C229" s="138"/>
      <c r="D229" s="41">
        <f t="shared" ref="D229:D232" si="37">E229+H229</f>
        <v>201.66399999999999</v>
      </c>
      <c r="E229" s="143">
        <f>E228</f>
        <v>201.66399999999999</v>
      </c>
      <c r="F229" s="143"/>
      <c r="G229" s="176"/>
      <c r="H229" s="40"/>
    </row>
    <row r="230" spans="1:8" s="42" customFormat="1" ht="25.5" customHeight="1" outlineLevel="1" x14ac:dyDescent="0.25">
      <c r="A230" s="43" t="s">
        <v>151</v>
      </c>
      <c r="B230" s="57" t="s">
        <v>274</v>
      </c>
      <c r="C230" s="138" t="s">
        <v>0</v>
      </c>
      <c r="D230" s="41">
        <f t="shared" si="37"/>
        <v>20.166399999999999</v>
      </c>
      <c r="E230" s="143">
        <f>E229*0.1</f>
        <v>20.166399999999999</v>
      </c>
      <c r="F230" s="143"/>
      <c r="G230" s="176"/>
      <c r="H230" s="40"/>
    </row>
    <row r="231" spans="1:8" s="42" customFormat="1" ht="30" customHeight="1" outlineLevel="1" x14ac:dyDescent="0.25">
      <c r="A231" s="43" t="s">
        <v>150</v>
      </c>
      <c r="B231" s="57" t="s">
        <v>277</v>
      </c>
      <c r="C231" s="138" t="s">
        <v>20</v>
      </c>
      <c r="D231" s="41">
        <f t="shared" si="37"/>
        <v>201.66399999999999</v>
      </c>
      <c r="E231" s="143">
        <f>E229</f>
        <v>201.66399999999999</v>
      </c>
      <c r="F231" s="143"/>
      <c r="G231" s="176"/>
      <c r="H231" s="40"/>
    </row>
    <row r="232" spans="1:8" s="42" customFormat="1" ht="17.25" customHeight="1" outlineLevel="1" x14ac:dyDescent="0.25">
      <c r="A232" s="43"/>
      <c r="B232" s="57" t="s">
        <v>278</v>
      </c>
      <c r="C232" s="138" t="s">
        <v>57</v>
      </c>
      <c r="D232" s="41">
        <f t="shared" si="37"/>
        <v>36.799999999999997</v>
      </c>
      <c r="E232" s="143">
        <f>E227</f>
        <v>36.799999999999997</v>
      </c>
      <c r="F232" s="143"/>
      <c r="G232" s="176"/>
      <c r="H232" s="40"/>
    </row>
    <row r="233" spans="1:8" s="42" customFormat="1" ht="18" customHeight="1" outlineLevel="1" x14ac:dyDescent="0.25">
      <c r="A233" s="43"/>
      <c r="B233" s="57" t="s">
        <v>285</v>
      </c>
      <c r="C233" s="138"/>
      <c r="D233" s="41"/>
      <c r="E233" s="143"/>
      <c r="F233" s="143"/>
      <c r="G233" s="176"/>
      <c r="H233" s="40"/>
    </row>
    <row r="234" spans="1:8" s="42" customFormat="1" ht="18.75" customHeight="1" outlineLevel="1" x14ac:dyDescent="0.25">
      <c r="A234" s="43" t="s">
        <v>104</v>
      </c>
      <c r="B234" s="48" t="s">
        <v>102</v>
      </c>
      <c r="C234" s="49" t="s">
        <v>20</v>
      </c>
      <c r="D234" s="79">
        <f>D235+D236</f>
        <v>161.9622</v>
      </c>
      <c r="E234" s="79">
        <f t="shared" ref="E234" si="38">E235+E236</f>
        <v>135.46120000000002</v>
      </c>
      <c r="F234" s="79"/>
      <c r="G234" s="178"/>
      <c r="H234" s="40">
        <v>26.5</v>
      </c>
    </row>
    <row r="235" spans="1:8" s="42" customFormat="1" ht="39" customHeight="1" outlineLevel="1" x14ac:dyDescent="0.25">
      <c r="A235" s="43"/>
      <c r="B235" s="62" t="s">
        <v>197</v>
      </c>
      <c r="C235" s="49" t="s">
        <v>20</v>
      </c>
      <c r="D235" s="79">
        <f>0.26*42.12</f>
        <v>10.9512</v>
      </c>
      <c r="E235" s="81">
        <f>0.26*42.12</f>
        <v>10.9512</v>
      </c>
      <c r="F235" s="40"/>
      <c r="G235" s="169"/>
      <c r="H235" s="40">
        <v>0</v>
      </c>
    </row>
    <row r="236" spans="1:8" s="42" customFormat="1" ht="37.5" customHeight="1" outlineLevel="1" x14ac:dyDescent="0.25">
      <c r="A236" s="43"/>
      <c r="B236" s="86" t="s">
        <v>213</v>
      </c>
      <c r="C236" s="49" t="s">
        <v>20</v>
      </c>
      <c r="D236" s="79">
        <f>0.7*215.73</f>
        <v>151.011</v>
      </c>
      <c r="E236" s="81">
        <v>124.51</v>
      </c>
      <c r="F236" s="40"/>
      <c r="G236" s="169"/>
      <c r="H236" s="40">
        <v>26.5</v>
      </c>
    </row>
    <row r="237" spans="1:8" s="42" customFormat="1" ht="37.5" customHeight="1" outlineLevel="1" x14ac:dyDescent="0.25">
      <c r="A237" s="43"/>
      <c r="B237" s="86" t="s">
        <v>259</v>
      </c>
      <c r="C237" s="49" t="s">
        <v>53</v>
      </c>
      <c r="D237" s="79">
        <f>E237+H237</f>
        <v>1050.5</v>
      </c>
      <c r="E237" s="81">
        <f>E221/0.2*2</f>
        <v>699.5</v>
      </c>
      <c r="F237" s="40"/>
      <c r="G237" s="165"/>
      <c r="H237" s="40">
        <v>351</v>
      </c>
    </row>
    <row r="238" spans="1:8" s="42" customFormat="1" ht="21" customHeight="1" outlineLevel="1" x14ac:dyDescent="0.25">
      <c r="A238" s="115" t="s">
        <v>192</v>
      </c>
      <c r="B238" s="65" t="s">
        <v>198</v>
      </c>
      <c r="C238" s="66"/>
      <c r="D238" s="121" t="s">
        <v>286</v>
      </c>
      <c r="E238" s="121"/>
      <c r="F238" s="121"/>
      <c r="G238" s="121"/>
      <c r="H238" s="66"/>
    </row>
    <row r="239" spans="1:8" s="42" customFormat="1" ht="21" customHeight="1" outlineLevel="1" x14ac:dyDescent="0.25">
      <c r="A239" s="183"/>
      <c r="B239" s="88"/>
      <c r="C239" s="157"/>
      <c r="D239" s="184" t="s">
        <v>138</v>
      </c>
      <c r="E239" s="184" t="s">
        <v>157</v>
      </c>
      <c r="F239" s="184" t="s">
        <v>136</v>
      </c>
      <c r="G239" s="184" t="s">
        <v>137</v>
      </c>
      <c r="H239" s="184" t="s">
        <v>156</v>
      </c>
    </row>
    <row r="240" spans="1:8" s="42" customFormat="1" ht="12.75" outlineLevel="1" x14ac:dyDescent="0.25">
      <c r="A240" s="38" t="s">
        <v>10</v>
      </c>
      <c r="B240" s="48" t="s">
        <v>187</v>
      </c>
      <c r="C240" s="40" t="s">
        <v>0</v>
      </c>
      <c r="D240" s="110">
        <f>E240+H240</f>
        <v>0.65300000000000002</v>
      </c>
      <c r="E240" s="110">
        <v>0.38</v>
      </c>
      <c r="F240" s="40"/>
      <c r="G240" s="163"/>
      <c r="H240" s="40">
        <v>0.27300000000000002</v>
      </c>
    </row>
    <row r="241" spans="1:8" s="42" customFormat="1" ht="51" customHeight="1" outlineLevel="1" x14ac:dyDescent="0.25">
      <c r="A241" s="38" t="s">
        <v>8</v>
      </c>
      <c r="B241" s="48" t="s">
        <v>188</v>
      </c>
      <c r="C241" s="40" t="s">
        <v>57</v>
      </c>
      <c r="D241" s="110">
        <f>E241+H241</f>
        <v>19.7</v>
      </c>
      <c r="E241" s="122">
        <v>11.62</v>
      </c>
      <c r="F241" s="40"/>
      <c r="G241" s="163"/>
      <c r="H241" s="40">
        <v>8.08</v>
      </c>
    </row>
    <row r="242" spans="1:8" s="42" customFormat="1" ht="12.75" outlineLevel="1" x14ac:dyDescent="0.2">
      <c r="A242" s="38" t="s">
        <v>9</v>
      </c>
      <c r="B242" s="123" t="s">
        <v>189</v>
      </c>
      <c r="C242" s="40" t="s">
        <v>20</v>
      </c>
      <c r="D242" s="110">
        <f t="shared" ref="D242:D245" si="39">E242+H242</f>
        <v>29.12</v>
      </c>
      <c r="E242" s="122">
        <v>16.190000000000001</v>
      </c>
      <c r="F242" s="40"/>
      <c r="G242" s="163"/>
      <c r="H242" s="40">
        <v>12.93</v>
      </c>
    </row>
    <row r="243" spans="1:8" s="42" customFormat="1" ht="23.25" customHeight="1" outlineLevel="1" x14ac:dyDescent="0.2">
      <c r="A243" s="38" t="s">
        <v>11</v>
      </c>
      <c r="B243" s="124" t="s">
        <v>191</v>
      </c>
      <c r="C243" s="49" t="s">
        <v>20</v>
      </c>
      <c r="D243" s="110">
        <f t="shared" si="39"/>
        <v>5.4700000000000006</v>
      </c>
      <c r="E243" s="125">
        <f>E244</f>
        <v>3.04</v>
      </c>
      <c r="F243" s="125"/>
      <c r="G243" s="163"/>
      <c r="H243" s="40">
        <v>2.4300000000000002</v>
      </c>
    </row>
    <row r="244" spans="1:8" s="42" customFormat="1" ht="25.5" outlineLevel="1" x14ac:dyDescent="0.25">
      <c r="A244" s="38"/>
      <c r="B244" s="48" t="s">
        <v>199</v>
      </c>
      <c r="C244" s="40" t="s">
        <v>20</v>
      </c>
      <c r="D244" s="110">
        <f t="shared" si="39"/>
        <v>5.4700000000000006</v>
      </c>
      <c r="E244" s="122">
        <v>3.04</v>
      </c>
      <c r="F244" s="40"/>
      <c r="G244" s="163"/>
      <c r="H244" s="40">
        <v>2.4300000000000002</v>
      </c>
    </row>
    <row r="245" spans="1:8" s="42" customFormat="1" ht="12.75" outlineLevel="1" x14ac:dyDescent="0.25">
      <c r="A245" s="38" t="s">
        <v>45</v>
      </c>
      <c r="B245" s="48" t="s">
        <v>190</v>
      </c>
      <c r="C245" s="40" t="s">
        <v>57</v>
      </c>
      <c r="D245" s="110">
        <f t="shared" si="39"/>
        <v>18.2</v>
      </c>
      <c r="E245" s="122">
        <v>10.119999999999999</v>
      </c>
      <c r="F245" s="40"/>
      <c r="G245" s="163"/>
      <c r="H245" s="40">
        <v>8.08</v>
      </c>
    </row>
    <row r="246" spans="1:8" s="42" customFormat="1" ht="25.5" customHeight="1" x14ac:dyDescent="0.25">
      <c r="A246" s="87" t="s">
        <v>45</v>
      </c>
      <c r="B246" s="88" t="s">
        <v>99</v>
      </c>
      <c r="C246" s="89"/>
      <c r="D246" s="80" t="s">
        <v>138</v>
      </c>
      <c r="E246" s="90" t="s">
        <v>157</v>
      </c>
      <c r="F246" s="90" t="s">
        <v>136</v>
      </c>
      <c r="G246" s="90" t="s">
        <v>137</v>
      </c>
      <c r="H246" s="90" t="s">
        <v>156</v>
      </c>
    </row>
    <row r="247" spans="1:8" s="42" customFormat="1" ht="15" customHeight="1" outlineLevel="1" x14ac:dyDescent="0.25">
      <c r="A247" s="126"/>
      <c r="B247" s="65" t="s">
        <v>87</v>
      </c>
      <c r="C247" s="127" t="s">
        <v>20</v>
      </c>
      <c r="D247" s="128">
        <v>10.6</v>
      </c>
      <c r="E247" s="185">
        <v>10.6</v>
      </c>
      <c r="F247" s="83"/>
      <c r="G247" s="83"/>
      <c r="H247" s="66"/>
    </row>
    <row r="248" spans="1:8" s="42" customFormat="1" ht="19.5" customHeight="1" outlineLevel="1" x14ac:dyDescent="0.25">
      <c r="A248" s="29" t="s">
        <v>46</v>
      </c>
      <c r="B248" s="30" t="s">
        <v>79</v>
      </c>
      <c r="C248" s="31" t="s">
        <v>20</v>
      </c>
      <c r="D248" s="32">
        <v>10.6</v>
      </c>
      <c r="E248" s="49">
        <v>10.6</v>
      </c>
      <c r="F248" s="98"/>
      <c r="G248" s="98"/>
      <c r="H248" s="40"/>
    </row>
    <row r="249" spans="1:8" s="42" customFormat="1" ht="12.75" outlineLevel="1" x14ac:dyDescent="0.25">
      <c r="A249" s="29"/>
      <c r="B249" s="34" t="s">
        <v>78</v>
      </c>
      <c r="C249" s="35" t="s">
        <v>20</v>
      </c>
      <c r="D249" s="36">
        <f>D248*1.1</f>
        <v>11.66</v>
      </c>
      <c r="E249" s="49">
        <v>11.66</v>
      </c>
      <c r="F249" s="98"/>
      <c r="G249" s="98"/>
      <c r="H249" s="40"/>
    </row>
    <row r="250" spans="1:8" s="42" customFormat="1" ht="12.75" outlineLevel="1" x14ac:dyDescent="0.25">
      <c r="A250" s="29" t="s">
        <v>47</v>
      </c>
      <c r="B250" s="37" t="s">
        <v>80</v>
      </c>
      <c r="C250" s="31" t="s">
        <v>20</v>
      </c>
      <c r="D250" s="32">
        <v>10.6</v>
      </c>
      <c r="E250" s="49">
        <v>10.6</v>
      </c>
      <c r="F250" s="98"/>
      <c r="G250" s="98"/>
      <c r="H250" s="40"/>
    </row>
    <row r="251" spans="1:8" s="42" customFormat="1" ht="18" customHeight="1" outlineLevel="1" x14ac:dyDescent="0.25">
      <c r="A251" s="38"/>
      <c r="B251" s="39" t="s">
        <v>61</v>
      </c>
      <c r="C251" s="40" t="s">
        <v>25</v>
      </c>
      <c r="D251" s="110">
        <f>D250*1.1*2.75</f>
        <v>32.064999999999998</v>
      </c>
      <c r="E251" s="108">
        <v>32.064999999999998</v>
      </c>
      <c r="F251" s="98"/>
      <c r="G251" s="98"/>
      <c r="H251" s="40"/>
    </row>
    <row r="252" spans="1:8" s="42" customFormat="1" ht="17.25" customHeight="1" outlineLevel="1" x14ac:dyDescent="0.25">
      <c r="A252" s="38"/>
      <c r="B252" s="39" t="s">
        <v>60</v>
      </c>
      <c r="C252" s="45" t="s">
        <v>0</v>
      </c>
      <c r="D252" s="41">
        <v>10.81</v>
      </c>
      <c r="E252" s="49">
        <v>10.81</v>
      </c>
      <c r="F252" s="98"/>
      <c r="G252" s="98"/>
      <c r="H252" s="40"/>
    </row>
    <row r="253" spans="1:8" s="42" customFormat="1" ht="12.75" outlineLevel="1" x14ac:dyDescent="0.25">
      <c r="A253" s="29" t="s">
        <v>48</v>
      </c>
      <c r="B253" s="37" t="s">
        <v>82</v>
      </c>
      <c r="C253" s="31" t="s">
        <v>20</v>
      </c>
      <c r="D253" s="32">
        <v>10.6</v>
      </c>
      <c r="E253" s="49">
        <v>10.6</v>
      </c>
      <c r="F253" s="98"/>
      <c r="G253" s="98"/>
      <c r="H253" s="40"/>
    </row>
    <row r="254" spans="1:8" s="42" customFormat="1" ht="12.75" outlineLevel="1" x14ac:dyDescent="0.25">
      <c r="A254" s="29"/>
      <c r="B254" s="34" t="s">
        <v>81</v>
      </c>
      <c r="C254" s="31" t="s">
        <v>25</v>
      </c>
      <c r="D254" s="129">
        <f>D253*0.225</f>
        <v>2.3849999999999998</v>
      </c>
      <c r="E254" s="49">
        <v>2.3849999999999998</v>
      </c>
      <c r="F254" s="98"/>
      <c r="G254" s="98"/>
      <c r="H254" s="40"/>
    </row>
    <row r="255" spans="1:8" s="42" customFormat="1" ht="12.75" outlineLevel="1" x14ac:dyDescent="0.25">
      <c r="A255" s="29" t="s">
        <v>83</v>
      </c>
      <c r="B255" s="30" t="s">
        <v>84</v>
      </c>
      <c r="C255" s="31" t="s">
        <v>20</v>
      </c>
      <c r="D255" s="32">
        <v>10.6</v>
      </c>
      <c r="E255" s="49">
        <v>10.6</v>
      </c>
      <c r="F255" s="98"/>
      <c r="G255" s="98"/>
      <c r="H255" s="40"/>
    </row>
    <row r="256" spans="1:8" s="42" customFormat="1" ht="12.75" outlineLevel="1" x14ac:dyDescent="0.25">
      <c r="A256" s="43"/>
      <c r="B256" s="44" t="s">
        <v>85</v>
      </c>
      <c r="C256" s="40" t="s">
        <v>20</v>
      </c>
      <c r="D256" s="110">
        <f>D255*1.1</f>
        <v>11.66</v>
      </c>
      <c r="E256" s="49">
        <v>11.66</v>
      </c>
      <c r="F256" s="98"/>
      <c r="G256" s="98"/>
      <c r="H256" s="40"/>
    </row>
    <row r="257" spans="1:8" s="42" customFormat="1" ht="12.75" outlineLevel="1" x14ac:dyDescent="0.25">
      <c r="A257" s="38"/>
      <c r="B257" s="44" t="s">
        <v>86</v>
      </c>
      <c r="C257" s="40" t="s">
        <v>20</v>
      </c>
      <c r="D257" s="110">
        <f>D255*1.1</f>
        <v>11.66</v>
      </c>
      <c r="E257" s="49">
        <v>11.66</v>
      </c>
      <c r="F257" s="98"/>
      <c r="G257" s="98"/>
      <c r="H257" s="40"/>
    </row>
    <row r="258" spans="1:8" s="42" customFormat="1" ht="20.25" customHeight="1" outlineLevel="1" x14ac:dyDescent="0.25">
      <c r="A258" s="43" t="s">
        <v>89</v>
      </c>
      <c r="B258" s="48" t="s">
        <v>105</v>
      </c>
      <c r="C258" s="49" t="s">
        <v>20</v>
      </c>
      <c r="D258" s="109">
        <f>D259+D260</f>
        <v>5.9129999999999994</v>
      </c>
      <c r="E258" s="108">
        <v>5.9129999999999994</v>
      </c>
      <c r="F258" s="98"/>
      <c r="G258" s="98"/>
      <c r="H258" s="40"/>
    </row>
    <row r="259" spans="1:8" s="42" customFormat="1" ht="25.5" outlineLevel="1" x14ac:dyDescent="0.25">
      <c r="A259" s="38"/>
      <c r="B259" s="39" t="s">
        <v>279</v>
      </c>
      <c r="C259" s="40" t="s">
        <v>20</v>
      </c>
      <c r="D259" s="110">
        <f>0.26*8.1</f>
        <v>2.1059999999999999</v>
      </c>
      <c r="E259" s="108">
        <v>2.1059999999999999</v>
      </c>
      <c r="F259" s="98"/>
      <c r="G259" s="98"/>
      <c r="H259" s="40"/>
    </row>
    <row r="260" spans="1:8" s="42" customFormat="1" ht="30.75" customHeight="1" outlineLevel="1" x14ac:dyDescent="0.25">
      <c r="A260" s="38"/>
      <c r="B260" s="39" t="s">
        <v>280</v>
      </c>
      <c r="C260" s="40" t="s">
        <v>20</v>
      </c>
      <c r="D260" s="122">
        <f>0.47*8.1</f>
        <v>3.8069999999999995</v>
      </c>
      <c r="E260" s="108">
        <v>3.8069999999999995</v>
      </c>
      <c r="F260" s="98"/>
      <c r="G260" s="98"/>
      <c r="H260" s="40"/>
    </row>
    <row r="261" spans="1:8" s="42" customFormat="1" ht="24" customHeight="1" outlineLevel="1" x14ac:dyDescent="0.25">
      <c r="A261" s="126"/>
      <c r="B261" s="65" t="s">
        <v>88</v>
      </c>
      <c r="C261" s="127" t="s">
        <v>20</v>
      </c>
      <c r="D261" s="128">
        <v>135.91</v>
      </c>
      <c r="E261" s="66" t="s">
        <v>157</v>
      </c>
      <c r="F261" s="66" t="s">
        <v>136</v>
      </c>
      <c r="G261" s="66" t="s">
        <v>137</v>
      </c>
      <c r="H261" s="66" t="s">
        <v>156</v>
      </c>
    </row>
    <row r="262" spans="1:8" s="42" customFormat="1" ht="19.5" customHeight="1" outlineLevel="1" x14ac:dyDescent="0.25">
      <c r="A262" s="29" t="s">
        <v>90</v>
      </c>
      <c r="B262" s="30" t="s">
        <v>79</v>
      </c>
      <c r="C262" s="31" t="s">
        <v>20</v>
      </c>
      <c r="D262" s="32">
        <v>135.91</v>
      </c>
      <c r="E262" s="98"/>
      <c r="F262" s="40">
        <v>135.91</v>
      </c>
      <c r="G262" s="98"/>
      <c r="H262" s="40"/>
    </row>
    <row r="263" spans="1:8" s="42" customFormat="1" ht="12.75" outlineLevel="1" x14ac:dyDescent="0.25">
      <c r="A263" s="29"/>
      <c r="B263" s="34" t="s">
        <v>78</v>
      </c>
      <c r="C263" s="35" t="s">
        <v>20</v>
      </c>
      <c r="D263" s="36">
        <f>D262*1.1</f>
        <v>149.501</v>
      </c>
      <c r="E263" s="98"/>
      <c r="F263" s="81">
        <v>149.501</v>
      </c>
      <c r="G263" s="98"/>
      <c r="H263" s="40"/>
    </row>
    <row r="264" spans="1:8" s="42" customFormat="1" ht="12.75" outlineLevel="1" x14ac:dyDescent="0.25">
      <c r="A264" s="29" t="s">
        <v>91</v>
      </c>
      <c r="B264" s="37" t="s">
        <v>80</v>
      </c>
      <c r="C264" s="31" t="s">
        <v>20</v>
      </c>
      <c r="D264" s="32">
        <v>135.91</v>
      </c>
      <c r="E264" s="98"/>
      <c r="F264" s="40">
        <v>135.91</v>
      </c>
      <c r="G264" s="98"/>
      <c r="H264" s="40"/>
    </row>
    <row r="265" spans="1:8" s="42" customFormat="1" ht="18" customHeight="1" outlineLevel="1" x14ac:dyDescent="0.25">
      <c r="A265" s="38"/>
      <c r="B265" s="39" t="s">
        <v>61</v>
      </c>
      <c r="C265" s="40" t="s">
        <v>25</v>
      </c>
      <c r="D265" s="110">
        <f>D264*1.1*2.75</f>
        <v>411.12774999999999</v>
      </c>
      <c r="E265" s="98"/>
      <c r="F265" s="81">
        <v>411.12774999999999</v>
      </c>
      <c r="G265" s="98"/>
      <c r="H265" s="40"/>
    </row>
    <row r="266" spans="1:8" s="42" customFormat="1" ht="17.25" customHeight="1" outlineLevel="1" x14ac:dyDescent="0.25">
      <c r="A266" s="38"/>
      <c r="B266" s="39" t="s">
        <v>60</v>
      </c>
      <c r="C266" s="45" t="s">
        <v>0</v>
      </c>
      <c r="D266" s="41">
        <f>D264*1.02</f>
        <v>138.62819999999999</v>
      </c>
      <c r="E266" s="98"/>
      <c r="F266" s="81">
        <v>138.62819999999999</v>
      </c>
      <c r="G266" s="98"/>
      <c r="H266" s="40"/>
    </row>
    <row r="267" spans="1:8" s="42" customFormat="1" ht="12.75" outlineLevel="1" x14ac:dyDescent="0.25">
      <c r="A267" s="29" t="s">
        <v>92</v>
      </c>
      <c r="B267" s="37" t="s">
        <v>82</v>
      </c>
      <c r="C267" s="31" t="s">
        <v>20</v>
      </c>
      <c r="D267" s="32">
        <v>135.91</v>
      </c>
      <c r="E267" s="98"/>
      <c r="F267" s="40">
        <v>135.91</v>
      </c>
      <c r="G267" s="98"/>
      <c r="H267" s="40"/>
    </row>
    <row r="268" spans="1:8" s="42" customFormat="1" ht="12.75" outlineLevel="1" x14ac:dyDescent="0.25">
      <c r="A268" s="29"/>
      <c r="B268" s="34" t="s">
        <v>118</v>
      </c>
      <c r="C268" s="31" t="s">
        <v>25</v>
      </c>
      <c r="D268" s="32">
        <f>D267*0.225</f>
        <v>30.579750000000001</v>
      </c>
      <c r="E268" s="98"/>
      <c r="F268" s="81">
        <v>30.579750000000001</v>
      </c>
      <c r="G268" s="98"/>
      <c r="H268" s="40"/>
    </row>
    <row r="269" spans="1:8" s="42" customFormat="1" ht="12.75" outlineLevel="1" x14ac:dyDescent="0.25">
      <c r="A269" s="29" t="s">
        <v>100</v>
      </c>
      <c r="B269" s="30" t="s">
        <v>84</v>
      </c>
      <c r="C269" s="31" t="s">
        <v>20</v>
      </c>
      <c r="D269" s="32">
        <v>135.91</v>
      </c>
      <c r="E269" s="98"/>
      <c r="F269" s="40">
        <v>135.91</v>
      </c>
      <c r="G269" s="98"/>
      <c r="H269" s="40"/>
    </row>
    <row r="270" spans="1:8" s="42" customFormat="1" ht="12.75" outlineLevel="1" x14ac:dyDescent="0.25">
      <c r="A270" s="43"/>
      <c r="B270" s="44" t="s">
        <v>85</v>
      </c>
      <c r="C270" s="40" t="s">
        <v>20</v>
      </c>
      <c r="D270" s="110">
        <v>147.91</v>
      </c>
      <c r="E270" s="98"/>
      <c r="F270" s="40">
        <v>147.91</v>
      </c>
      <c r="G270" s="98"/>
      <c r="H270" s="40"/>
    </row>
    <row r="271" spans="1:8" s="42" customFormat="1" ht="12.75" outlineLevel="1" x14ac:dyDescent="0.25">
      <c r="A271" s="38"/>
      <c r="B271" s="44" t="s">
        <v>86</v>
      </c>
      <c r="C271" s="40" t="s">
        <v>20</v>
      </c>
      <c r="D271" s="110">
        <v>147.91</v>
      </c>
      <c r="E271" s="98"/>
      <c r="F271" s="40">
        <v>147.91</v>
      </c>
      <c r="G271" s="98"/>
      <c r="H271" s="40"/>
    </row>
    <row r="272" spans="1:8" s="42" customFormat="1" ht="20.25" customHeight="1" outlineLevel="1" x14ac:dyDescent="0.25">
      <c r="A272" s="43" t="s">
        <v>116</v>
      </c>
      <c r="B272" s="48" t="s">
        <v>105</v>
      </c>
      <c r="C272" s="49" t="s">
        <v>20</v>
      </c>
      <c r="D272" s="109">
        <f>D273+D274</f>
        <v>25.263999999999999</v>
      </c>
      <c r="E272" s="98"/>
      <c r="F272" s="81">
        <v>25.263999999999999</v>
      </c>
      <c r="G272" s="98"/>
      <c r="H272" s="40"/>
    </row>
    <row r="273" spans="1:8" s="42" customFormat="1" ht="25.5" outlineLevel="1" x14ac:dyDescent="0.25">
      <c r="A273" s="38"/>
      <c r="B273" s="39" t="s">
        <v>282</v>
      </c>
      <c r="C273" s="40" t="s">
        <v>20</v>
      </c>
      <c r="D273" s="110">
        <f>0.26*33.9</f>
        <v>8.8140000000000001</v>
      </c>
      <c r="E273" s="98"/>
      <c r="F273" s="81">
        <v>8.8140000000000001</v>
      </c>
      <c r="G273" s="98"/>
      <c r="H273" s="98"/>
    </row>
    <row r="274" spans="1:8" s="42" customFormat="1" ht="30.75" customHeight="1" outlineLevel="1" x14ac:dyDescent="0.25">
      <c r="A274" s="38"/>
      <c r="B274" s="39" t="s">
        <v>281</v>
      </c>
      <c r="C274" s="40" t="s">
        <v>20</v>
      </c>
      <c r="D274" s="122">
        <f>0.47*35</f>
        <v>16.45</v>
      </c>
      <c r="E274" s="98"/>
      <c r="F274" s="40">
        <v>16.45</v>
      </c>
      <c r="G274" s="98"/>
      <c r="H274" s="98"/>
    </row>
  </sheetData>
  <mergeCells count="5">
    <mergeCell ref="E7:F7"/>
    <mergeCell ref="A3:C3"/>
    <mergeCell ref="A1:H1"/>
    <mergeCell ref="A2:H2"/>
    <mergeCell ref="A4:H4"/>
  </mergeCells>
  <phoneticPr fontId="6" type="noConversion"/>
  <pageMargins left="0.39370078740157483" right="0.19685039370078741" top="0.39370078740157483" bottom="0.19685039370078741" header="0.51181102362204722" footer="0.15748031496062992"/>
  <pageSetup paperSize="8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1CAA5-2DE8-4CB9-BC77-63308702DA4A}">
  <dimension ref="A1"/>
  <sheetViews>
    <sheetView workbookViewId="0">
      <selection activeCell="D25" sqref="D25"/>
    </sheetView>
  </sheetViews>
  <sheetFormatPr defaultRowHeight="15" x14ac:dyDescent="0.25"/>
  <cols>
    <col min="2" max="2" width="18.28515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 (3)</vt:lpstr>
      <vt:lpstr>Лист1</vt:lpstr>
      <vt:lpstr>'Лист1 (3)'!Область_печати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Кашуба Алла Владимировна</dc:creator>
  <cp:lastModifiedBy>Коробова Ирина Олеговна</cp:lastModifiedBy>
  <cp:lastPrinted>2026-10-06T14:52:26Z</cp:lastPrinted>
  <dcterms:created xsi:type="dcterms:W3CDTF">2015-06-05T18:19:34Z</dcterms:created>
  <dcterms:modified xsi:type="dcterms:W3CDTF">2026-11-03T13:43:25Z</dcterms:modified>
</cp:coreProperties>
</file>