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filterPrivacy="1"/>
  <xr:revisionPtr revIDLastSave="0" documentId="13_ncr:1_{2598E0FA-4ECF-41E4-A0E7-C3A12B868095}" xr6:coauthVersionLast="47" xr6:coauthVersionMax="47" xr10:uidLastSave="{00000000-0000-0000-0000-000000000000}"/>
  <bookViews>
    <workbookView xWindow="5550" yWindow="3255" windowWidth="19380" windowHeight="13740" xr2:uid="{00000000-000D-0000-FFFF-FFFF00000000}"/>
  </bookViews>
  <sheets>
    <sheet name="для тендера" sheetId="2" r:id="rId1"/>
    <sheet name="Вариант для импорта" sheetId="1" r:id="rId2"/>
  </sheets>
  <definedNames>
    <definedName name="_xlnm._FilterDatabase" localSheetId="1" hidden="1">'Вариант для импорта'!$A$13:$F$13</definedName>
    <definedName name="_xlnm._FilterDatabase" localSheetId="0" hidden="1">'для тендера'!$A$13:$D$811</definedName>
    <definedName name="_xlnm.Print_Area" localSheetId="0">'для тендера'!$A$1:$D$811</definedName>
  </definedNames>
  <calcPr calcId="191029" iterateDelta="9.9999999974897903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740" i="2" l="1"/>
  <c r="D739" i="2"/>
  <c r="D590" i="2"/>
  <c r="D715" i="2"/>
  <c r="D647" i="2"/>
  <c r="D519" i="2"/>
  <c r="D507" i="2"/>
  <c r="D493" i="2"/>
  <c r="D492" i="2" s="1"/>
  <c r="D473" i="2"/>
  <c r="D470" i="2"/>
  <c r="D468" i="2"/>
  <c r="D459" i="2"/>
  <c r="D456" i="2"/>
  <c r="D447" i="2"/>
  <c r="D423" i="2"/>
  <c r="D420" i="2"/>
  <c r="D313" i="2"/>
  <c r="D310" i="2"/>
  <c r="D299" i="2"/>
  <c r="D296" i="2"/>
  <c r="D283" i="2"/>
  <c r="D194" i="2"/>
  <c r="D183" i="2"/>
  <c r="D172" i="2"/>
  <c r="D167" i="2"/>
  <c r="D781" i="2"/>
  <c r="D780" i="2"/>
  <c r="D805" i="2"/>
  <c r="D798" i="2"/>
  <c r="D797" i="2"/>
  <c r="D795" i="2"/>
  <c r="D667" i="2"/>
  <c r="D659" i="2"/>
  <c r="D650" i="2"/>
  <c r="D636" i="2"/>
  <c r="D628" i="2"/>
  <c r="D638" i="2"/>
  <c r="D623" i="2"/>
  <c r="D617" i="2"/>
  <c r="D593" i="2"/>
  <c r="D545" i="2"/>
  <c r="D271" i="2"/>
  <c r="D259" i="2"/>
  <c r="D356" i="2"/>
  <c r="D334" i="2"/>
  <c r="D333" i="2" s="1"/>
  <c r="D322" i="2"/>
  <c r="D144" i="2"/>
  <c r="D125" i="2" l="1"/>
  <c r="D121" i="2"/>
  <c r="D120" i="2"/>
  <c r="D116" i="2"/>
  <c r="D115" i="2"/>
  <c r="D114" i="2" s="1"/>
  <c r="D113" i="2"/>
  <c r="D112" i="2"/>
  <c r="D108" i="2"/>
  <c r="D106" i="2"/>
  <c r="D96" i="2"/>
  <c r="D94" i="2"/>
  <c r="D588" i="2"/>
  <c r="D446" i="2"/>
  <c r="D158" i="2"/>
  <c r="D192" i="2"/>
  <c r="D184" i="2"/>
  <c r="D168" i="2"/>
  <c r="D155" i="2"/>
  <c r="D134" i="2"/>
  <c r="D131" i="2"/>
  <c r="F285" i="2" l="1"/>
  <c r="D83" i="2" l="1"/>
  <c r="D76" i="2"/>
  <c r="D30" i="2"/>
  <c r="D653" i="2"/>
  <c r="D654" i="2"/>
  <c r="D655" i="2"/>
  <c r="D656" i="2"/>
  <c r="D600" i="2"/>
  <c r="D601" i="2"/>
  <c r="D602" i="2"/>
  <c r="D603" i="2"/>
  <c r="D592" i="2"/>
  <c r="D605" i="2"/>
  <c r="D482" i="2"/>
  <c r="D483" i="2"/>
  <c r="D484" i="2"/>
  <c r="D485" i="2"/>
  <c r="D486" i="2"/>
  <c r="D487" i="2"/>
  <c r="D488" i="2"/>
  <c r="D428" i="2"/>
  <c r="D427" i="2"/>
  <c r="D426" i="2"/>
  <c r="D422" i="2"/>
  <c r="D435" i="2"/>
  <c r="D325" i="2"/>
  <c r="D326" i="2"/>
  <c r="D327" i="2"/>
  <c r="D328" i="2"/>
  <c r="D329" i="2"/>
  <c r="D330" i="2"/>
  <c r="D258" i="2"/>
  <c r="D264" i="2"/>
  <c r="D263" i="2"/>
  <c r="D200" i="2"/>
  <c r="D201" i="2"/>
  <c r="D203" i="2"/>
  <c r="D204" i="2"/>
  <c r="D210" i="2"/>
  <c r="D332" i="2"/>
  <c r="D337" i="2"/>
  <c r="D338" i="2"/>
  <c r="D285" i="2"/>
  <c r="D491" i="2"/>
  <c r="D449" i="2"/>
  <c r="D454" i="2"/>
  <c r="D663" i="2"/>
  <c r="D664" i="2"/>
  <c r="D616" i="2"/>
  <c r="D619" i="2"/>
  <c r="D516" i="2"/>
  <c r="D517" i="2" s="1"/>
  <c r="D675" i="2"/>
  <c r="D237" i="2"/>
  <c r="D238" i="2"/>
  <c r="D239" i="2"/>
  <c r="D455" i="2"/>
  <c r="D478" i="2"/>
  <c r="D469" i="2"/>
  <c r="D522" i="2"/>
  <c r="D523" i="2"/>
  <c r="D524" i="2"/>
  <c r="D643" i="2"/>
  <c r="D681" i="2"/>
  <c r="D682" i="2"/>
  <c r="D683" i="2"/>
  <c r="D637" i="2"/>
  <c r="D644" i="2"/>
  <c r="D645" i="2"/>
  <c r="D587" i="2"/>
  <c r="D514" i="2"/>
  <c r="D363" i="2"/>
  <c r="D227" i="2"/>
  <c r="D672" i="2"/>
  <c r="D673" i="2"/>
  <c r="D512" i="2"/>
  <c r="D513" i="2"/>
  <c r="D515" i="2"/>
  <c r="D365" i="2"/>
  <c r="D361" i="2"/>
  <c r="D362" i="2"/>
  <c r="D229" i="2"/>
  <c r="D228" i="2"/>
  <c r="D226" i="2"/>
  <c r="D225" i="2"/>
  <c r="D308" i="2"/>
  <c r="D295" i="2"/>
  <c r="D309" i="2"/>
  <c r="D319" i="2"/>
  <c r="D340" i="2"/>
  <c r="D339" i="2"/>
  <c r="D336" i="2"/>
  <c r="D282" i="2"/>
  <c r="D294" i="2"/>
  <c r="D212" i="2"/>
  <c r="D211" i="2"/>
  <c r="D521" i="2" l="1"/>
  <c r="D510" i="2"/>
  <c r="D670" i="2"/>
  <c r="D641" i="2"/>
  <c r="D595" i="2"/>
  <c r="D206" i="2"/>
  <c r="D199" i="2"/>
  <c r="D652" i="2"/>
  <c r="D661" i="2"/>
  <c r="D425" i="2"/>
  <c r="D481" i="2"/>
  <c r="D261" i="2"/>
  <c r="D324" i="2"/>
  <c r="D335" i="2"/>
  <c r="D359" i="2"/>
  <c r="D811" i="2" l="1"/>
  <c r="D794" i="2"/>
  <c r="D788" i="2"/>
  <c r="D782" i="2"/>
  <c r="D777" i="2"/>
  <c r="D776" i="2"/>
  <c r="D775" i="2"/>
  <c r="D773" i="2"/>
  <c r="D771" i="2"/>
  <c r="D765" i="2"/>
  <c r="D759" i="2"/>
  <c r="D758" i="2"/>
  <c r="D757" i="2"/>
  <c r="D755" i="2"/>
  <c r="D753" i="2"/>
  <c r="D747" i="2"/>
  <c r="D741" i="2"/>
  <c r="D737" i="2"/>
  <c r="D714" i="2" l="1"/>
  <c r="D712" i="2"/>
  <c r="D711" i="2"/>
  <c r="D694" i="2"/>
  <c r="D692" i="2"/>
  <c r="D688" i="2"/>
  <c r="D686" i="2"/>
  <c r="D685" i="2"/>
  <c r="D684" i="2"/>
  <c r="D680" i="2"/>
  <c r="D677" i="2"/>
  <c r="D676" i="2"/>
  <c r="D666" i="2"/>
  <c r="D665" i="2"/>
  <c r="D658" i="2"/>
  <c r="D657" i="2"/>
  <c r="D649" i="2"/>
  <c r="D577" i="2"/>
  <c r="D576" i="2" s="1"/>
  <c r="D574" i="2"/>
  <c r="D563" i="2"/>
  <c r="D562" i="2" s="1"/>
  <c r="D554" i="2"/>
  <c r="D553" i="2" s="1"/>
  <c r="D551" i="2"/>
  <c r="D544" i="2"/>
  <c r="D542" i="2"/>
  <c r="D538" i="2"/>
  <c r="D536" i="2"/>
  <c r="D535" i="2"/>
  <c r="D534" i="2"/>
  <c r="D529" i="2"/>
  <c r="D527" i="2"/>
  <c r="D526" i="2"/>
  <c r="D525" i="2"/>
  <c r="D518" i="2"/>
  <c r="D506" i="2"/>
  <c r="D505" i="2"/>
  <c r="D501" i="2"/>
  <c r="D500" i="2"/>
  <c r="D494" i="2"/>
  <c r="D489" i="2"/>
  <c r="D480" i="2"/>
  <c r="D418" i="2"/>
  <c r="D417" i="2" s="1"/>
  <c r="D415" i="2"/>
  <c r="D404" i="2"/>
  <c r="D403" i="2" s="1"/>
  <c r="D400" i="2"/>
  <c r="D394" i="2"/>
  <c r="D393" i="2" s="1"/>
  <c r="D391" i="2"/>
  <c r="D385" i="2"/>
  <c r="D384" i="2" s="1"/>
  <c r="D382" i="2"/>
  <c r="D378" i="2"/>
  <c r="D376" i="2"/>
  <c r="D375" i="2"/>
  <c r="D374" i="2"/>
  <c r="D370" i="2"/>
  <c r="D368" i="2"/>
  <c r="D367" i="2"/>
  <c r="D366" i="2"/>
  <c r="D355" i="2"/>
  <c r="D354" i="2"/>
  <c r="D350" i="2"/>
  <c r="D349" i="2"/>
  <c r="D343" i="2"/>
  <c r="D342" i="2"/>
  <c r="D331" i="2"/>
  <c r="D321" i="2"/>
  <c r="D256" i="2"/>
  <c r="D252" i="2"/>
  <c r="D250" i="2"/>
  <c r="D249" i="2"/>
  <c r="D248" i="2"/>
  <c r="D244" i="2"/>
  <c r="D242" i="2"/>
  <c r="D241" i="2"/>
  <c r="D240" i="2"/>
  <c r="D231" i="2"/>
  <c r="D230" i="2"/>
  <c r="D219" i="2"/>
  <c r="D218" i="2"/>
  <c r="D214" i="2"/>
  <c r="D213" i="2"/>
  <c r="D209" i="2"/>
  <c r="D205" i="2"/>
  <c r="D196" i="2"/>
  <c r="D81" i="2"/>
  <c r="D74" i="2"/>
  <c r="D73" i="2"/>
  <c r="D67" i="2"/>
  <c r="D65" i="2"/>
  <c r="D63" i="2"/>
  <c r="D54" i="2"/>
  <c r="D53" i="2"/>
  <c r="D52" i="2"/>
  <c r="D51" i="2"/>
  <c r="D49" i="2"/>
  <c r="D47" i="2"/>
  <c r="D40" i="2"/>
  <c r="D16" i="2"/>
  <c r="E659" i="1"/>
  <c r="E605" i="1"/>
  <c r="E580" i="1"/>
  <c r="E552" i="1"/>
  <c r="F659" i="1" l="1"/>
  <c r="E642" i="1"/>
  <c r="E666" i="1"/>
  <c r="F666" i="1" s="1"/>
  <c r="E665" i="1"/>
  <c r="F665" i="1" s="1"/>
  <c r="F664" i="1"/>
  <c r="E663" i="1"/>
  <c r="F663" i="1" s="1"/>
  <c r="F662" i="1"/>
  <c r="E661" i="1"/>
  <c r="F661" i="1" s="1"/>
  <c r="F660" i="1"/>
  <c r="E613" i="1"/>
  <c r="E635" i="1"/>
  <c r="F635" i="1" s="1"/>
  <c r="E641" i="1"/>
  <c r="F641" i="1" s="1"/>
  <c r="E640" i="1"/>
  <c r="F640" i="1" s="1"/>
  <c r="F639" i="1"/>
  <c r="E638" i="1"/>
  <c r="F638" i="1" s="1"/>
  <c r="E637" i="1"/>
  <c r="F637" i="1" s="1"/>
  <c r="F636" i="1"/>
  <c r="E588" i="1"/>
  <c r="E612" i="1"/>
  <c r="F612" i="1" s="1"/>
  <c r="F611" i="1"/>
  <c r="E610" i="1"/>
  <c r="F610" i="1" s="1"/>
  <c r="F609" i="1"/>
  <c r="E608" i="1"/>
  <c r="F608" i="1" s="1"/>
  <c r="E607" i="1"/>
  <c r="F607" i="1" s="1"/>
  <c r="F606" i="1"/>
  <c r="F605" i="1"/>
  <c r="F580" i="1"/>
  <c r="E563" i="1"/>
  <c r="E587" i="1"/>
  <c r="F587" i="1" s="1"/>
  <c r="F586" i="1"/>
  <c r="E585" i="1"/>
  <c r="F585" i="1" s="1"/>
  <c r="F584" i="1"/>
  <c r="E583" i="1"/>
  <c r="F583" i="1" s="1"/>
  <c r="E582" i="1"/>
  <c r="F582" i="1" s="1"/>
  <c r="F581" i="1"/>
  <c r="E531" i="1"/>
  <c r="F552" i="1"/>
  <c r="E562" i="1"/>
  <c r="F562" i="1" s="1"/>
  <c r="F561" i="1"/>
  <c r="E560" i="1"/>
  <c r="F560" i="1" s="1"/>
  <c r="F559" i="1"/>
  <c r="E558" i="1"/>
  <c r="F558" i="1" s="1"/>
  <c r="E557" i="1"/>
  <c r="F557" i="1" s="1"/>
  <c r="F556" i="1"/>
  <c r="E555" i="1"/>
  <c r="F555" i="1" s="1"/>
  <c r="E554" i="1"/>
  <c r="F554" i="1" s="1"/>
  <c r="F553" i="1"/>
  <c r="F40" i="1" l="1"/>
  <c r="F41" i="1"/>
  <c r="F42" i="1"/>
  <c r="F43" i="1"/>
  <c r="F44" i="1"/>
  <c r="F45" i="1"/>
  <c r="F47" i="1"/>
  <c r="F49" i="1"/>
  <c r="F54" i="1"/>
  <c r="F55" i="1"/>
  <c r="F56" i="1"/>
  <c r="F58" i="1"/>
  <c r="F59" i="1"/>
  <c r="F60" i="1"/>
  <c r="F61" i="1"/>
  <c r="F62" i="1"/>
  <c r="F63" i="1"/>
  <c r="F64" i="1"/>
  <c r="F65" i="1"/>
  <c r="F66" i="1"/>
  <c r="F67" i="1"/>
  <c r="D53" i="1"/>
  <c r="F53" i="1" s="1"/>
  <c r="D52" i="1"/>
  <c r="F52" i="1" s="1"/>
  <c r="D51" i="1"/>
  <c r="F51" i="1" s="1"/>
  <c r="D50" i="1"/>
  <c r="F50" i="1" s="1"/>
  <c r="D48" i="1"/>
  <c r="F48" i="1" s="1"/>
  <c r="D46" i="1"/>
  <c r="F46" i="1" s="1"/>
  <c r="D39" i="1"/>
  <c r="F39" i="1" s="1"/>
  <c r="F642" i="1" l="1"/>
  <c r="E658" i="1"/>
  <c r="F658" i="1" s="1"/>
  <c r="F657" i="1"/>
  <c r="F656" i="1"/>
  <c r="F655" i="1"/>
  <c r="F654" i="1"/>
  <c r="F653" i="1"/>
  <c r="E652" i="1"/>
  <c r="F652" i="1" s="1"/>
  <c r="F651" i="1"/>
  <c r="F650" i="1"/>
  <c r="F649" i="1"/>
  <c r="F648" i="1"/>
  <c r="F647" i="1"/>
  <c r="F646" i="1"/>
  <c r="E645" i="1"/>
  <c r="F645" i="1" s="1"/>
  <c r="E644" i="1"/>
  <c r="F644" i="1" s="1"/>
  <c r="F643" i="1"/>
  <c r="F613" i="1"/>
  <c r="F623" i="1"/>
  <c r="E622" i="1"/>
  <c r="F622" i="1" s="1"/>
  <c r="E621" i="1"/>
  <c r="F621" i="1" s="1"/>
  <c r="E620" i="1"/>
  <c r="F620" i="1" s="1"/>
  <c r="F619" i="1"/>
  <c r="E591" i="1"/>
  <c r="F591" i="1" s="1"/>
  <c r="E616" i="1"/>
  <c r="F616" i="1" s="1"/>
  <c r="E634" i="1"/>
  <c r="F634" i="1" s="1"/>
  <c r="F633" i="1"/>
  <c r="F632" i="1"/>
  <c r="F631" i="1"/>
  <c r="F630" i="1"/>
  <c r="F629" i="1"/>
  <c r="E628" i="1"/>
  <c r="F628" i="1" s="1"/>
  <c r="F627" i="1"/>
  <c r="F626" i="1"/>
  <c r="F625" i="1"/>
  <c r="F624" i="1"/>
  <c r="F618" i="1"/>
  <c r="E617" i="1"/>
  <c r="F617" i="1" s="1"/>
  <c r="E615" i="1"/>
  <c r="F615" i="1" s="1"/>
  <c r="F614" i="1"/>
  <c r="F588" i="1"/>
  <c r="E592" i="1"/>
  <c r="F592" i="1" s="1"/>
  <c r="E590" i="1"/>
  <c r="F590" i="1" s="1"/>
  <c r="E604" i="1"/>
  <c r="F604" i="1" s="1"/>
  <c r="F603" i="1"/>
  <c r="F602" i="1"/>
  <c r="F601" i="1"/>
  <c r="F600" i="1"/>
  <c r="F599" i="1"/>
  <c r="E598" i="1"/>
  <c r="F598" i="1" s="1"/>
  <c r="F597" i="1"/>
  <c r="F596" i="1"/>
  <c r="F595" i="1"/>
  <c r="F594" i="1"/>
  <c r="F593" i="1"/>
  <c r="F589" i="1"/>
  <c r="F563" i="1"/>
  <c r="E567" i="1"/>
  <c r="F567" i="1" s="1"/>
  <c r="E565" i="1"/>
  <c r="F565" i="1" s="1"/>
  <c r="E566" i="1"/>
  <c r="F566" i="1" s="1"/>
  <c r="E579" i="1"/>
  <c r="F579" i="1" s="1"/>
  <c r="F578" i="1"/>
  <c r="F577" i="1"/>
  <c r="F576" i="1"/>
  <c r="F575" i="1"/>
  <c r="F574" i="1"/>
  <c r="E573" i="1"/>
  <c r="F573" i="1" s="1"/>
  <c r="F572" i="1"/>
  <c r="F571" i="1"/>
  <c r="F570" i="1"/>
  <c r="F569" i="1"/>
  <c r="F568" i="1"/>
  <c r="F564" i="1"/>
  <c r="F531" i="1" l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5" i="1"/>
  <c r="F546" i="1"/>
  <c r="F547" i="1"/>
  <c r="F548" i="1"/>
  <c r="F549" i="1"/>
  <c r="F550" i="1"/>
  <c r="E551" i="1"/>
  <c r="F551" i="1" s="1"/>
  <c r="E544" i="1"/>
  <c r="F544" i="1" s="1"/>
  <c r="F672" i="1" l="1"/>
  <c r="F676" i="1"/>
  <c r="F678" i="1"/>
  <c r="F680" i="1"/>
  <c r="F681" i="1"/>
  <c r="F682" i="1"/>
  <c r="F683" i="1"/>
  <c r="F684" i="1"/>
  <c r="E679" i="1"/>
  <c r="F679" i="1" s="1"/>
  <c r="E677" i="1"/>
  <c r="F677" i="1" s="1"/>
  <c r="E673" i="1"/>
  <c r="F673" i="1" s="1"/>
  <c r="F667" i="1"/>
  <c r="F669" i="1"/>
  <c r="F670" i="1"/>
  <c r="E675" i="1"/>
  <c r="E674" i="1" s="1"/>
  <c r="E671" i="1"/>
  <c r="E668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9" i="1"/>
  <c r="D675" i="1"/>
  <c r="D674" i="1" s="1"/>
  <c r="D671" i="1"/>
  <c r="D668" i="1"/>
  <c r="D530" i="1"/>
  <c r="F530" i="1" s="1"/>
  <c r="D528" i="1"/>
  <c r="F528" i="1" s="1"/>
  <c r="D527" i="1"/>
  <c r="F527" i="1" s="1"/>
  <c r="D510" i="1"/>
  <c r="F668" i="1" l="1"/>
  <c r="F671" i="1"/>
  <c r="F674" i="1"/>
  <c r="F675" i="1"/>
  <c r="F510" i="1"/>
  <c r="E504" i="1" l="1"/>
  <c r="E502" i="1"/>
  <c r="F503" i="1"/>
  <c r="E501" i="1"/>
  <c r="E496" i="1"/>
  <c r="E494" i="1"/>
  <c r="E493" i="1"/>
  <c r="F495" i="1"/>
  <c r="E486" i="1"/>
  <c r="E483" i="1"/>
  <c r="F485" i="1"/>
  <c r="E482" i="1"/>
  <c r="F484" i="1"/>
  <c r="E477" i="1"/>
  <c r="E508" i="1"/>
  <c r="E500" i="1"/>
  <c r="E492" i="1"/>
  <c r="E481" i="1"/>
  <c r="E474" i="1"/>
  <c r="E475" i="1"/>
  <c r="F476" i="1"/>
  <c r="E464" i="1"/>
  <c r="E458" i="1"/>
  <c r="E456" i="1"/>
  <c r="F473" i="1"/>
  <c r="F472" i="1"/>
  <c r="F470" i="1"/>
  <c r="F468" i="1"/>
  <c r="F467" i="1"/>
  <c r="F466" i="1"/>
  <c r="F457" i="1"/>
  <c r="E463" i="1"/>
  <c r="E455" i="1"/>
  <c r="E441" i="1"/>
  <c r="E440" i="1" s="1"/>
  <c r="E452" i="1"/>
  <c r="E451" i="1" s="1"/>
  <c r="E438" i="1"/>
  <c r="E427" i="1"/>
  <c r="E426" i="1" s="1"/>
  <c r="E418" i="1"/>
  <c r="E417" i="1" s="1"/>
  <c r="D417" i="1"/>
  <c r="E415" i="1"/>
  <c r="E409" i="1"/>
  <c r="E408" i="1" s="1"/>
  <c r="D408" i="1"/>
  <c r="E402" i="1"/>
  <c r="E399" i="1"/>
  <c r="E400" i="1"/>
  <c r="F401" i="1"/>
  <c r="E393" i="1"/>
  <c r="E406" i="1"/>
  <c r="E398" i="1"/>
  <c r="E391" i="1"/>
  <c r="F392" i="1"/>
  <c r="E390" i="1"/>
  <c r="E389" i="1"/>
  <c r="E385" i="1"/>
  <c r="E383" i="1"/>
  <c r="F384" i="1"/>
  <c r="E382" i="1"/>
  <c r="E381" i="1"/>
  <c r="E375" i="1"/>
  <c r="E372" i="1"/>
  <c r="E373" i="1"/>
  <c r="F374" i="1"/>
  <c r="E353" i="1"/>
  <c r="E352" i="1" s="1"/>
  <c r="E367" i="1"/>
  <c r="E360" i="1"/>
  <c r="E371" i="1"/>
  <c r="E366" i="1"/>
  <c r="E354" i="1"/>
  <c r="E359" i="1"/>
  <c r="E351" i="1"/>
  <c r="D351" i="1"/>
  <c r="F350" i="1"/>
  <c r="F349" i="1"/>
  <c r="F347" i="1"/>
  <c r="F345" i="1"/>
  <c r="F344" i="1"/>
  <c r="F343" i="1"/>
  <c r="E331" i="1"/>
  <c r="E330" i="1"/>
  <c r="F340" i="1"/>
  <c r="E339" i="1"/>
  <c r="F353" i="1" l="1"/>
  <c r="E327" i="1" l="1"/>
  <c r="E326" i="1" s="1"/>
  <c r="E324" i="1"/>
  <c r="E313" i="1"/>
  <c r="E312" i="1" s="1"/>
  <c r="E309" i="1"/>
  <c r="E303" i="1"/>
  <c r="E302" i="1" s="1"/>
  <c r="E300" i="1"/>
  <c r="E294" i="1"/>
  <c r="E293" i="1" s="1"/>
  <c r="D294" i="1"/>
  <c r="D293" i="1" s="1"/>
  <c r="E287" i="1"/>
  <c r="E285" i="1"/>
  <c r="E291" i="1"/>
  <c r="E277" i="1"/>
  <c r="E283" i="1"/>
  <c r="E279" i="1"/>
  <c r="F286" i="1"/>
  <c r="E284" i="1"/>
  <c r="E276" i="1"/>
  <c r="F278" i="1"/>
  <c r="E266" i="1"/>
  <c r="E275" i="1"/>
  <c r="F269" i="1"/>
  <c r="F268" i="1"/>
  <c r="F257" i="1"/>
  <c r="E255" i="1"/>
  <c r="E258" i="1"/>
  <c r="E265" i="1"/>
  <c r="E254" i="1"/>
  <c r="F256" i="1"/>
  <c r="E233" i="1" l="1"/>
  <c r="E232" i="1" s="1"/>
  <c r="F232" i="1" s="1"/>
  <c r="E249" i="1"/>
  <c r="E253" i="1"/>
  <c r="E242" i="1"/>
  <c r="E248" i="1"/>
  <c r="E234" i="1"/>
  <c r="F234" i="1" s="1"/>
  <c r="E241" i="1"/>
  <c r="E231" i="1"/>
  <c r="F215" i="1"/>
  <c r="F216" i="1"/>
  <c r="F217" i="1"/>
  <c r="F218" i="1"/>
  <c r="F219" i="1"/>
  <c r="F221" i="1"/>
  <c r="F222" i="1"/>
  <c r="F223" i="1"/>
  <c r="F224" i="1"/>
  <c r="F225" i="1"/>
  <c r="F226" i="1"/>
  <c r="F227" i="1"/>
  <c r="F228" i="1"/>
  <c r="F229" i="1"/>
  <c r="F230" i="1"/>
  <c r="F235" i="1"/>
  <c r="F236" i="1"/>
  <c r="F237" i="1"/>
  <c r="E211" i="1"/>
  <c r="E213" i="1"/>
  <c r="E220" i="1"/>
  <c r="E210" i="1"/>
  <c r="F212" i="1"/>
  <c r="F233" i="1" l="1"/>
  <c r="F68" i="1"/>
  <c r="F69" i="1"/>
  <c r="E204" i="1" l="1"/>
  <c r="E196" i="1"/>
  <c r="E208" i="1"/>
  <c r="D208" i="1"/>
  <c r="E200" i="1"/>
  <c r="E201" i="1"/>
  <c r="E193" i="1"/>
  <c r="E202" i="1"/>
  <c r="E194" i="1"/>
  <c r="F203" i="1"/>
  <c r="F195" i="1"/>
  <c r="E184" i="1"/>
  <c r="E187" i="1"/>
  <c r="E183" i="1"/>
  <c r="D192" i="1"/>
  <c r="E192" i="1"/>
  <c r="F188" i="1"/>
  <c r="F186" i="1"/>
  <c r="F185" i="1"/>
  <c r="F169" i="1"/>
  <c r="F173" i="1"/>
  <c r="F174" i="1"/>
  <c r="F175" i="1"/>
  <c r="F176" i="1"/>
  <c r="F177" i="1"/>
  <c r="F178" i="1"/>
  <c r="F179" i="1"/>
  <c r="F180" i="1"/>
  <c r="F181" i="1"/>
  <c r="E172" i="1"/>
  <c r="F172" i="1" s="1"/>
  <c r="E182" i="1"/>
  <c r="E171" i="1"/>
  <c r="D171" i="1"/>
  <c r="F208" i="1" l="1"/>
  <c r="F192" i="1"/>
  <c r="F171" i="1"/>
  <c r="E160" i="1" l="1"/>
  <c r="E159" i="1" s="1"/>
  <c r="F159" i="1" s="1"/>
  <c r="E166" i="1"/>
  <c r="F166" i="1" s="1"/>
  <c r="E161" i="1"/>
  <c r="F161" i="1" s="1"/>
  <c r="F157" i="1"/>
  <c r="F162" i="1"/>
  <c r="F163" i="1"/>
  <c r="F164" i="1"/>
  <c r="F167" i="1"/>
  <c r="F168" i="1"/>
  <c r="E170" i="1"/>
  <c r="E165" i="1"/>
  <c r="D165" i="1"/>
  <c r="E158" i="1"/>
  <c r="D158" i="1"/>
  <c r="F142" i="1"/>
  <c r="F143" i="1"/>
  <c r="F144" i="1"/>
  <c r="F145" i="1"/>
  <c r="F146" i="1"/>
  <c r="F148" i="1"/>
  <c r="F149" i="1"/>
  <c r="F150" i="1"/>
  <c r="F151" i="1"/>
  <c r="F152" i="1"/>
  <c r="F153" i="1"/>
  <c r="F154" i="1"/>
  <c r="F155" i="1"/>
  <c r="F156" i="1"/>
  <c r="E139" i="1"/>
  <c r="F139" i="1" s="1"/>
  <c r="E141" i="1"/>
  <c r="F141" i="1" s="1"/>
  <c r="E147" i="1"/>
  <c r="F135" i="1"/>
  <c r="F136" i="1"/>
  <c r="F137" i="1"/>
  <c r="F140" i="1"/>
  <c r="E138" i="1"/>
  <c r="F134" i="1"/>
  <c r="E122" i="1"/>
  <c r="E121" i="1" s="1"/>
  <c r="F121" i="1" s="1"/>
  <c r="E128" i="1"/>
  <c r="F128" i="1" s="1"/>
  <c r="E123" i="1"/>
  <c r="F123" i="1" s="1"/>
  <c r="F124" i="1"/>
  <c r="F125" i="1"/>
  <c r="F126" i="1"/>
  <c r="F129" i="1"/>
  <c r="F130" i="1"/>
  <c r="F131" i="1"/>
  <c r="F133" i="1"/>
  <c r="E132" i="1"/>
  <c r="E127" i="1"/>
  <c r="E120" i="1"/>
  <c r="D120" i="1"/>
  <c r="D132" i="1"/>
  <c r="D127" i="1"/>
  <c r="F111" i="1"/>
  <c r="F114" i="1"/>
  <c r="F116" i="1"/>
  <c r="F117" i="1"/>
  <c r="F118" i="1"/>
  <c r="E113" i="1"/>
  <c r="F113" i="1" s="1"/>
  <c r="E115" i="1"/>
  <c r="F115" i="1" s="1"/>
  <c r="E119" i="1"/>
  <c r="F110" i="1"/>
  <c r="F102" i="1"/>
  <c r="F104" i="1"/>
  <c r="F105" i="1"/>
  <c r="F106" i="1"/>
  <c r="F107" i="1"/>
  <c r="F108" i="1"/>
  <c r="F109" i="1"/>
  <c r="E101" i="1"/>
  <c r="F101" i="1" s="1"/>
  <c r="E103" i="1"/>
  <c r="D103" i="1"/>
  <c r="F98" i="1"/>
  <c r="F99" i="1"/>
  <c r="F100" i="1"/>
  <c r="F160" i="1" l="1"/>
  <c r="F165" i="1"/>
  <c r="F158" i="1"/>
  <c r="F127" i="1"/>
  <c r="F122" i="1"/>
  <c r="F120" i="1"/>
  <c r="F132" i="1"/>
  <c r="F103" i="1"/>
  <c r="E80" i="1"/>
  <c r="E88" i="1"/>
  <c r="F88" i="1" s="1"/>
  <c r="E90" i="1"/>
  <c r="F90" i="1" s="1"/>
  <c r="F84" i="1"/>
  <c r="F85" i="1"/>
  <c r="F86" i="1"/>
  <c r="F89" i="1"/>
  <c r="F91" i="1"/>
  <c r="F92" i="1"/>
  <c r="F93" i="1"/>
  <c r="F94" i="1"/>
  <c r="F96" i="1"/>
  <c r="F97" i="1"/>
  <c r="F82" i="1"/>
  <c r="D80" i="1"/>
  <c r="E81" i="1"/>
  <c r="E83" i="1"/>
  <c r="F83" i="1" s="1"/>
  <c r="F78" i="1"/>
  <c r="F71" i="1"/>
  <c r="F73" i="1"/>
  <c r="F75" i="1"/>
  <c r="F76" i="1"/>
  <c r="F77" i="1"/>
  <c r="F79" i="1"/>
  <c r="E74" i="1"/>
  <c r="E72" i="1"/>
  <c r="E70" i="1"/>
  <c r="D74" i="1"/>
  <c r="D72" i="1"/>
  <c r="D70" i="1"/>
  <c r="D95" i="1"/>
  <c r="F95" i="1" s="1"/>
  <c r="D87" i="1"/>
  <c r="F87" i="1" s="1"/>
  <c r="F72" i="1" l="1"/>
  <c r="F74" i="1"/>
  <c r="F70" i="1"/>
  <c r="F81" i="1" l="1"/>
  <c r="F184" i="1"/>
  <c r="F187" i="1"/>
  <c r="F189" i="1"/>
  <c r="F190" i="1"/>
  <c r="F191" i="1"/>
  <c r="F194" i="1"/>
  <c r="F196" i="1"/>
  <c r="F197" i="1"/>
  <c r="F198" i="1"/>
  <c r="F199" i="1"/>
  <c r="F202" i="1"/>
  <c r="F204" i="1"/>
  <c r="F205" i="1"/>
  <c r="F206" i="1"/>
  <c r="F207" i="1"/>
  <c r="F209" i="1"/>
  <c r="F211" i="1"/>
  <c r="F213" i="1"/>
  <c r="F214" i="1"/>
  <c r="F238" i="1"/>
  <c r="F239" i="1"/>
  <c r="F240" i="1"/>
  <c r="F242" i="1"/>
  <c r="F243" i="1"/>
  <c r="F244" i="1"/>
  <c r="F245" i="1"/>
  <c r="F246" i="1"/>
  <c r="F247" i="1"/>
  <c r="F249" i="1"/>
  <c r="F250" i="1"/>
  <c r="F251" i="1"/>
  <c r="F252" i="1"/>
  <c r="F255" i="1"/>
  <c r="F258" i="1"/>
  <c r="F260" i="1"/>
  <c r="F261" i="1"/>
  <c r="F262" i="1"/>
  <c r="F263" i="1"/>
  <c r="F264" i="1"/>
  <c r="F267" i="1"/>
  <c r="F270" i="1"/>
  <c r="F272" i="1"/>
  <c r="F273" i="1"/>
  <c r="F274" i="1"/>
  <c r="F277" i="1"/>
  <c r="F279" i="1"/>
  <c r="F280" i="1"/>
  <c r="F281" i="1"/>
  <c r="F282" i="1"/>
  <c r="F285" i="1"/>
  <c r="F287" i="1"/>
  <c r="F288" i="1"/>
  <c r="F289" i="1"/>
  <c r="F290" i="1"/>
  <c r="F292" i="1"/>
  <c r="F294" i="1"/>
  <c r="F295" i="1"/>
  <c r="F296" i="1"/>
  <c r="F297" i="1"/>
  <c r="F298" i="1"/>
  <c r="F299" i="1"/>
  <c r="F301" i="1"/>
  <c r="F303" i="1"/>
  <c r="F304" i="1"/>
  <c r="F305" i="1"/>
  <c r="F306" i="1"/>
  <c r="F307" i="1"/>
  <c r="F308" i="1"/>
  <c r="F310" i="1"/>
  <c r="F311" i="1"/>
  <c r="F313" i="1"/>
  <c r="F314" i="1"/>
  <c r="F315" i="1"/>
  <c r="F316" i="1"/>
  <c r="F317" i="1"/>
  <c r="F318" i="1"/>
  <c r="F319" i="1"/>
  <c r="F320" i="1"/>
  <c r="F321" i="1"/>
  <c r="F322" i="1"/>
  <c r="F323" i="1"/>
  <c r="F325" i="1"/>
  <c r="F326" i="1"/>
  <c r="F327" i="1"/>
  <c r="F328" i="1"/>
  <c r="F329" i="1"/>
  <c r="F331" i="1"/>
  <c r="F332" i="1"/>
  <c r="F333" i="1"/>
  <c r="F334" i="1"/>
  <c r="F335" i="1"/>
  <c r="F336" i="1"/>
  <c r="F337" i="1"/>
  <c r="F338" i="1"/>
  <c r="F341" i="1"/>
  <c r="F342" i="1"/>
  <c r="F346" i="1"/>
  <c r="F348" i="1"/>
  <c r="F352" i="1"/>
  <c r="F354" i="1"/>
  <c r="F355" i="1"/>
  <c r="F356" i="1"/>
  <c r="F357" i="1"/>
  <c r="F358" i="1"/>
  <c r="F360" i="1"/>
  <c r="F361" i="1"/>
  <c r="F362" i="1"/>
  <c r="F363" i="1"/>
  <c r="F364" i="1"/>
  <c r="F365" i="1"/>
  <c r="F367" i="1"/>
  <c r="F368" i="1"/>
  <c r="F369" i="1"/>
  <c r="F370" i="1"/>
  <c r="F373" i="1"/>
  <c r="F375" i="1"/>
  <c r="F376" i="1"/>
  <c r="F377" i="1"/>
  <c r="F378" i="1"/>
  <c r="F379" i="1"/>
  <c r="F380" i="1"/>
  <c r="F383" i="1"/>
  <c r="F385" i="1"/>
  <c r="F386" i="1"/>
  <c r="F387" i="1"/>
  <c r="F388" i="1"/>
  <c r="F391" i="1"/>
  <c r="F393" i="1"/>
  <c r="F394" i="1"/>
  <c r="F395" i="1"/>
  <c r="F396" i="1"/>
  <c r="F397" i="1"/>
  <c r="F400" i="1"/>
  <c r="F402" i="1"/>
  <c r="F403" i="1"/>
  <c r="F404" i="1"/>
  <c r="F405" i="1"/>
  <c r="F407" i="1"/>
  <c r="F409" i="1"/>
  <c r="F410" i="1"/>
  <c r="F411" i="1"/>
  <c r="F412" i="1"/>
  <c r="F413" i="1"/>
  <c r="F414" i="1"/>
  <c r="F415" i="1"/>
  <c r="F416" i="1"/>
  <c r="F418" i="1"/>
  <c r="F419" i="1"/>
  <c r="F420" i="1"/>
  <c r="F421" i="1"/>
  <c r="F422" i="1"/>
  <c r="F423" i="1"/>
  <c r="F424" i="1"/>
  <c r="F425" i="1"/>
  <c r="F427" i="1"/>
  <c r="F428" i="1"/>
  <c r="F429" i="1"/>
  <c r="F430" i="1"/>
  <c r="F431" i="1"/>
  <c r="F432" i="1"/>
  <c r="F433" i="1"/>
  <c r="F434" i="1"/>
  <c r="F435" i="1"/>
  <c r="F436" i="1"/>
  <c r="F437" i="1"/>
  <c r="F439" i="1"/>
  <c r="F441" i="1"/>
  <c r="F442" i="1"/>
  <c r="F443" i="1"/>
  <c r="F444" i="1"/>
  <c r="F445" i="1"/>
  <c r="F446" i="1"/>
  <c r="F447" i="1"/>
  <c r="F448" i="1"/>
  <c r="F449" i="1"/>
  <c r="F450" i="1"/>
  <c r="F452" i="1"/>
  <c r="F453" i="1"/>
  <c r="F454" i="1"/>
  <c r="F456" i="1"/>
  <c r="F458" i="1"/>
  <c r="F459" i="1"/>
  <c r="F460" i="1"/>
  <c r="F461" i="1"/>
  <c r="F462" i="1"/>
  <c r="F465" i="1"/>
  <c r="F469" i="1"/>
  <c r="F471" i="1"/>
  <c r="F475" i="1"/>
  <c r="F477" i="1"/>
  <c r="F478" i="1"/>
  <c r="F479" i="1"/>
  <c r="F480" i="1"/>
  <c r="F483" i="1"/>
  <c r="F486" i="1"/>
  <c r="F488" i="1"/>
  <c r="F489" i="1"/>
  <c r="F490" i="1"/>
  <c r="F491" i="1"/>
  <c r="F494" i="1"/>
  <c r="F496" i="1"/>
  <c r="F497" i="1"/>
  <c r="F498" i="1"/>
  <c r="F499" i="1"/>
  <c r="F502" i="1"/>
  <c r="F504" i="1"/>
  <c r="F505" i="1"/>
  <c r="F506" i="1"/>
  <c r="F507" i="1"/>
  <c r="F509" i="1"/>
  <c r="F16" i="1"/>
  <c r="F17" i="1"/>
  <c r="F18" i="1"/>
  <c r="F19" i="1"/>
  <c r="F20" i="1"/>
  <c r="F21" i="1"/>
  <c r="F22" i="1"/>
  <c r="F23" i="1"/>
  <c r="F24" i="1"/>
  <c r="F25" i="1"/>
  <c r="F27" i="1"/>
  <c r="F28" i="1"/>
  <c r="F30" i="1"/>
  <c r="F31" i="1"/>
  <c r="F32" i="1"/>
  <c r="F33" i="1"/>
  <c r="F34" i="1"/>
  <c r="F35" i="1"/>
  <c r="F36" i="1"/>
  <c r="F38" i="1"/>
  <c r="D26" i="1" l="1"/>
  <c r="F26" i="1" s="1"/>
  <c r="E29" i="1"/>
  <c r="F29" i="1" s="1"/>
  <c r="D464" i="1" l="1"/>
  <c r="F464" i="1" s="1"/>
  <c r="D266" i="1"/>
  <c r="F266" i="1" s="1"/>
  <c r="E15" i="1"/>
  <c r="D231" i="1"/>
  <c r="F231" i="1" s="1"/>
  <c r="D220" i="1"/>
  <c r="F220" i="1" s="1"/>
  <c r="D200" i="1"/>
  <c r="F200" i="1" s="1"/>
  <c r="D182" i="1"/>
  <c r="F182" i="1" s="1"/>
  <c r="D170" i="1"/>
  <c r="F170" i="1" s="1"/>
  <c r="D147" i="1"/>
  <c r="F147" i="1" s="1"/>
  <c r="D37" i="1"/>
  <c r="F37" i="1" s="1"/>
  <c r="D501" i="1"/>
  <c r="F501" i="1" s="1"/>
  <c r="D508" i="1"/>
  <c r="F508" i="1" s="1"/>
  <c r="D500" i="1"/>
  <c r="F500" i="1" s="1"/>
  <c r="D493" i="1"/>
  <c r="F493" i="1" s="1"/>
  <c r="D492" i="1"/>
  <c r="F492" i="1" s="1"/>
  <c r="D482" i="1"/>
  <c r="F482" i="1" s="1"/>
  <c r="D474" i="1"/>
  <c r="F474" i="1" s="1"/>
  <c r="D481" i="1"/>
  <c r="F481" i="1" s="1"/>
  <c r="D455" i="1"/>
  <c r="F455" i="1" s="1"/>
  <c r="D463" i="1"/>
  <c r="F463" i="1" s="1"/>
  <c r="D451" i="1"/>
  <c r="F451" i="1" s="1"/>
  <c r="D440" i="1"/>
  <c r="F440" i="1" s="1"/>
  <c r="D438" i="1"/>
  <c r="F438" i="1" s="1"/>
  <c r="D426" i="1"/>
  <c r="F426" i="1" s="1"/>
  <c r="D309" i="1"/>
  <c r="F309" i="1" s="1"/>
  <c r="F417" i="1"/>
  <c r="F408" i="1"/>
  <c r="D406" i="1"/>
  <c r="F406" i="1" s="1"/>
  <c r="D399" i="1"/>
  <c r="F399" i="1" s="1"/>
  <c r="D390" i="1"/>
  <c r="F390" i="1" s="1"/>
  <c r="D398" i="1"/>
  <c r="F398" i="1" s="1"/>
  <c r="D389" i="1"/>
  <c r="F389" i="1" s="1"/>
  <c r="D382" i="1"/>
  <c r="F382" i="1" s="1"/>
  <c r="D366" i="1"/>
  <c r="F366" i="1" s="1"/>
  <c r="D371" i="1"/>
  <c r="F371" i="1" s="1"/>
  <c r="D372" i="1"/>
  <c r="F372" i="1" s="1"/>
  <c r="D381" i="1"/>
  <c r="F381" i="1" s="1"/>
  <c r="D359" i="1"/>
  <c r="F359" i="1" s="1"/>
  <c r="F351" i="1"/>
  <c r="D339" i="1"/>
  <c r="F339" i="1" s="1"/>
  <c r="D330" i="1"/>
  <c r="F330" i="1" s="1"/>
  <c r="D324" i="1"/>
  <c r="F324" i="1" s="1"/>
  <c r="D312" i="1"/>
  <c r="F312" i="1" s="1"/>
  <c r="D302" i="1"/>
  <c r="F302" i="1" s="1"/>
  <c r="D300" i="1"/>
  <c r="F300" i="1" s="1"/>
  <c r="F293" i="1"/>
  <c r="D284" i="1"/>
  <c r="F284" i="1" s="1"/>
  <c r="D276" i="1"/>
  <c r="F276" i="1" s="1"/>
  <c r="D291" i="1"/>
  <c r="F291" i="1" s="1"/>
  <c r="D283" i="1"/>
  <c r="F283" i="1" s="1"/>
  <c r="D275" i="1"/>
  <c r="F275" i="1" s="1"/>
  <c r="D265" i="1"/>
  <c r="F265" i="1" s="1"/>
  <c r="D254" i="1"/>
  <c r="F254" i="1" s="1"/>
  <c r="D241" i="1"/>
  <c r="F241" i="1" s="1"/>
  <c r="D248" i="1"/>
  <c r="F248" i="1" s="1"/>
  <c r="D253" i="1"/>
  <c r="F253" i="1" s="1"/>
  <c r="D210" i="1" l="1"/>
  <c r="F210" i="1" s="1"/>
  <c r="D201" i="1"/>
  <c r="F201" i="1" s="1"/>
  <c r="D193" i="1"/>
  <c r="F193" i="1" s="1"/>
  <c r="D183" i="1"/>
  <c r="F183" i="1" s="1"/>
  <c r="D138" i="1"/>
  <c r="F138" i="1" s="1"/>
  <c r="D119" i="1"/>
  <c r="F119" i="1" s="1"/>
  <c r="D112" i="1"/>
  <c r="F112" i="1" s="1"/>
  <c r="F80" i="1"/>
  <c r="D15" i="1" l="1"/>
  <c r="F15" i="1" s="1"/>
</calcChain>
</file>

<file path=xl/sharedStrings.xml><?xml version="1.0" encoding="utf-8"?>
<sst xmlns="http://schemas.openxmlformats.org/spreadsheetml/2006/main" count="3105" uniqueCount="517">
  <si>
    <t>№ п.п.</t>
  </si>
  <si>
    <t>Наименование работ, ресурсов, затрат по проекту</t>
  </si>
  <si>
    <t>Ед. изм.</t>
  </si>
  <si>
    <t>1</t>
  </si>
  <si>
    <t>м3</t>
  </si>
  <si>
    <t>2</t>
  </si>
  <si>
    <t>3</t>
  </si>
  <si>
    <t>4</t>
  </si>
  <si>
    <t>5</t>
  </si>
  <si>
    <t>тн</t>
  </si>
  <si>
    <t>Устройство рулонной наплавляемой гидроизоляций подошвы 2 слоя</t>
  </si>
  <si>
    <t>м2</t>
  </si>
  <si>
    <t>Устройство защитной цементно-песчанной стяжки толщиной 30 мм</t>
  </si>
  <si>
    <t>Устройство опалубки плиты ростверка</t>
  </si>
  <si>
    <t>Устройство щебеночного основания, из щебня 40-70 с расклинцовкой, t=500 мм</t>
  </si>
  <si>
    <t>Устройство бетонной подготовки, бетон В7,5</t>
  </si>
  <si>
    <t>Устройство рулонной наплавляемой гидроизоляции подошвы 2 слоя</t>
  </si>
  <si>
    <t>Устройство опалубки подошвы</t>
  </si>
  <si>
    <t>Армирование подошвы:</t>
  </si>
  <si>
    <t>Бетонирование подошвы толщиной 300 мм, бетон В25 W150 W6</t>
  </si>
  <si>
    <t>Устройство опалубки стен</t>
  </si>
  <si>
    <t>Армирование стен, арматура А500С</t>
  </si>
  <si>
    <t>Бетонирование стен толщиной 300 мм, высотой 4,02 м, бетон В25 W150 W6</t>
  </si>
  <si>
    <t>Устройство наплавляемой гидроизоляции подпорной стены 2 слоя</t>
  </si>
  <si>
    <t>Устройство бетонной подготовки, бетон В15, t=100 мм</t>
  </si>
  <si>
    <t>Устройство рулонной наплавляемой гидроизоляций подошвы</t>
  </si>
  <si>
    <t>Устройство защитной цементно-песчанной стяжки, t=30 мм</t>
  </si>
  <si>
    <t>Устройство опалубки плиты днища</t>
  </si>
  <si>
    <t>Устройство армирования плиты днища:</t>
  </si>
  <si>
    <t>Бетонирование плиты днища бетон В25 W150 W6</t>
  </si>
  <si>
    <t>Устройство опалубки стен бассейна</t>
  </si>
  <si>
    <t>Армирование стен бассейна толщиной 300 мм, арматура А500С</t>
  </si>
  <si>
    <t>Бетонирование стен толщиной 300 мм, бетон В25 W150 W6</t>
  </si>
  <si>
    <t>Армирование стен бассейна толщиной 400 мм, арматура А500С</t>
  </si>
  <si>
    <t>Бетонирование стен толщиной 400 мм, бетон В25 W150 W6</t>
  </si>
  <si>
    <t>Устройство наплавляемой гидроизоляции стены 2 слоя</t>
  </si>
  <si>
    <t>Устройство опалубки стен с уширением под колонны</t>
  </si>
  <si>
    <t>Армирование стен с уширением под колонны</t>
  </si>
  <si>
    <t>Арматура 6 А240</t>
  </si>
  <si>
    <t>Арматура 12 А500С</t>
  </si>
  <si>
    <t>Арматура 16 А500С</t>
  </si>
  <si>
    <t>Арматура 22 А500С</t>
  </si>
  <si>
    <t>Устройство рулоной гидроизоляции стен подвала 2 слоя</t>
  </si>
  <si>
    <t>Устройство экструдированного пенополистирола толщиной 100 мм на клей</t>
  </si>
  <si>
    <t>Устройство защитной стенки из кирпичной кладки, кирпич КР-кл-по 250х120х65/1НФ/500/2,0/100, на р-ре М100, толщиной в пол кирпича</t>
  </si>
  <si>
    <t>Устройство опалубки колонн</t>
  </si>
  <si>
    <t>Армирование колонн высотой до 4 метров</t>
  </si>
  <si>
    <t>Бетонирование колонн высотой до 4 метров бетон В25 W4 F75</t>
  </si>
  <si>
    <t>Армирование колонн высотой свыше 4 метров</t>
  </si>
  <si>
    <t>Бетонирование колонн высотой выше 4 метров, бетон В25 W4 F75</t>
  </si>
  <si>
    <t>Устройство опалубки перекрытий t=250 мм с капителями</t>
  </si>
  <si>
    <t>Армирование перекрытий с капителями</t>
  </si>
  <si>
    <t>Арматура 14 А500С</t>
  </si>
  <si>
    <t>Арматура 18 А500С</t>
  </si>
  <si>
    <t>Бетонирование перекрытий с капителями, бетон В25 W4 F75</t>
  </si>
  <si>
    <t>Устройство опалубки лестничных маршей</t>
  </si>
  <si>
    <t>Армирование лестничных маршей</t>
  </si>
  <si>
    <t>Бетонирование лестничных маршей, бетон В25 W4 F75</t>
  </si>
  <si>
    <t>Устройство опалубки днищ купелей t=250 мм</t>
  </si>
  <si>
    <t>Армирование днищ купелей</t>
  </si>
  <si>
    <t>Бетонирование днищ купелей, бетон В25 W4 F75</t>
  </si>
  <si>
    <t>Устройство опалубки стен купелей</t>
  </si>
  <si>
    <t>Армирование стен купелей высотой до 3 метров</t>
  </si>
  <si>
    <t>Армирование стен высотой более 3 метров</t>
  </si>
  <si>
    <t>Арматура 25 А500С</t>
  </si>
  <si>
    <t>Арматура 8 А240</t>
  </si>
  <si>
    <t>Арматура 6 240</t>
  </si>
  <si>
    <t>Бетонирование колонн высотой до 4 метров, бетон В25 W4 F75</t>
  </si>
  <si>
    <t>Армирование колонн высотой до 6 метров</t>
  </si>
  <si>
    <t>нт</t>
  </si>
  <si>
    <t>Бетонирование колонн высотой до 6 метров, бетон В25 W4 F75</t>
  </si>
  <si>
    <t>Армирование колонн высотой выше 6 метров</t>
  </si>
  <si>
    <t>Бетонирование колонн, бетон В25 W4 F75</t>
  </si>
  <si>
    <t>Армирование днищ купелей и</t>
  </si>
  <si>
    <t>Армирование стен купелей толщиной 200 мм, высотой до 3 метров</t>
  </si>
  <si>
    <t>Бетонирование стен, бетон В25 W150 W6, толщиной 200 мм, высотой 1,45 м</t>
  </si>
  <si>
    <t>Устройство ферм:</t>
  </si>
  <si>
    <t>Профиль квадратный 100х50х5 С245</t>
  </si>
  <si>
    <t>Профиль квадратный 100х5С345</t>
  </si>
  <si>
    <t>Профиль квадратный 120х5 С345</t>
  </si>
  <si>
    <t>Профиль квадратный 150х5 С345</t>
  </si>
  <si>
    <t>Профиль квадратный 200х8 С345</t>
  </si>
  <si>
    <t>Устройство надколонников двутавр С345</t>
  </si>
  <si>
    <t>Устройство связей и распорок:</t>
  </si>
  <si>
    <t>Профиль квадратный 160х6 С345</t>
  </si>
  <si>
    <t>Профиль квадратный 140х5 С345</t>
  </si>
  <si>
    <t>Профиль квадратный 120х5С345</t>
  </si>
  <si>
    <t>Профиль квадратный 100х5 С345</t>
  </si>
  <si>
    <t>Профиль квадратный 80х5 С345</t>
  </si>
  <si>
    <t>Устройство прогонов, швеллер 18П</t>
  </si>
  <si>
    <t>Балки покрытия двутавр С345</t>
  </si>
  <si>
    <t>Сталь листовая:</t>
  </si>
  <si>
    <t>t-40 мм, С345</t>
  </si>
  <si>
    <t>t-32 мм, С345</t>
  </si>
  <si>
    <t>t-30 мм, С345</t>
  </si>
  <si>
    <t>t-25 мм, С345</t>
  </si>
  <si>
    <t>t-20 мм, С345</t>
  </si>
  <si>
    <t>t-16 мм, С345</t>
  </si>
  <si>
    <t>t-12 мм,С245</t>
  </si>
  <si>
    <t>t-10 мм, С245</t>
  </si>
  <si>
    <t>t-8 мм, С245</t>
  </si>
  <si>
    <t>t-6 мм, С245</t>
  </si>
  <si>
    <t>Профнастил покрытия Н75-750-0,8</t>
  </si>
  <si>
    <t>Антикоррозионая защита</t>
  </si>
  <si>
    <t>Огнезащита металлических констуркций "Тексотер" расход 0,37 кг/м2</t>
  </si>
  <si>
    <t>Армирование стен высотой свыше 3 метров</t>
  </si>
  <si>
    <t>Арматура 10 А500С</t>
  </si>
  <si>
    <t>Арматура 22А500С</t>
  </si>
  <si>
    <t>Арматура 6А240</t>
  </si>
  <si>
    <t>Устройство опалубки днищ бассейна t=250 мм</t>
  </si>
  <si>
    <t>Армирование днища бассейна</t>
  </si>
  <si>
    <t>Арматура 20 А500С</t>
  </si>
  <si>
    <t>Бетонирование днища бассейна, бетон В25 W4 F75</t>
  </si>
  <si>
    <t>Армирование стен бассейна высотой до 3 метров</t>
  </si>
  <si>
    <t>Профиль квадратный 180х6 С345</t>
  </si>
  <si>
    <t>Сталь листовая конструкций покрытия (фермы, распокроки, прогоны и тд):</t>
  </si>
  <si>
    <t>Устройство пандуса металлического:</t>
  </si>
  <si>
    <t>Профиль квадратный 120х5 С245</t>
  </si>
  <si>
    <t>Профиль прямоугольный 120х60х5 С245</t>
  </si>
  <si>
    <t>Балки двутавр С245</t>
  </si>
  <si>
    <t>Уголок равнополочный 75х5, С245</t>
  </si>
  <si>
    <t>Просечно-вытяжной лист 510</t>
  </si>
  <si>
    <t>t-14 мм, С345</t>
  </si>
  <si>
    <t>t-12 мм, С345</t>
  </si>
  <si>
    <t>t-8 мм, С345</t>
  </si>
  <si>
    <t>Армирование стен</t>
  </si>
  <si>
    <t>Устройство опалубки колонн, пилонов</t>
  </si>
  <si>
    <t>Раздел: 1. Фундаменты</t>
  </si>
  <si>
    <t>Гидрошпонка Технониколь ЕМ-260/50 (или аналог)</t>
  </si>
  <si>
    <t>пм</t>
  </si>
  <si>
    <t>Сефити Joint Neodyl, ГОСТ 32805-2014</t>
  </si>
  <si>
    <t>Экструдированный пенополистирол Пеноплекс Гео -50 мм</t>
  </si>
  <si>
    <t>Жгут "Вилатерм", ТУ</t>
  </si>
  <si>
    <t>Жгут "Кордон", ТУ 2500-376-00152106-94</t>
  </si>
  <si>
    <t>Полиуретановый герметик, ТУ-2513-081-72746455-2014</t>
  </si>
  <si>
    <t>шт</t>
  </si>
  <si>
    <t>Арматура Д6 А240</t>
  </si>
  <si>
    <t>ФБС 24-6-6т</t>
  </si>
  <si>
    <t>ФБС 20-6-6т</t>
  </si>
  <si>
    <t>ФБС 15-6-6т</t>
  </si>
  <si>
    <t>ФБС 12-6-6т</t>
  </si>
  <si>
    <t>ФБС 10-6-6т</t>
  </si>
  <si>
    <t>ФБС 24-4-6т</t>
  </si>
  <si>
    <t>ФБС 20-4-6т</t>
  </si>
  <si>
    <t>ФБС12-4-6т</t>
  </si>
  <si>
    <t>ФБС10-4-6т</t>
  </si>
  <si>
    <t>ФБС24-6-3т</t>
  </si>
  <si>
    <t>ФБС20-6-3т</t>
  </si>
  <si>
    <t>ФБС15-6-3т</t>
  </si>
  <si>
    <t>ФБС12-6-3т</t>
  </si>
  <si>
    <t>Цементно-песчаный раствор М75</t>
  </si>
  <si>
    <t>Засыпка песком мест</t>
  </si>
  <si>
    <t>Песок средней крупности</t>
  </si>
  <si>
    <t>кг</t>
  </si>
  <si>
    <t>Устройство деформационных швов в стенах ниже нуля</t>
  </si>
  <si>
    <t xml:space="preserve">пм </t>
  </si>
  <si>
    <t>Герметик Технониколь ПУ</t>
  </si>
  <si>
    <t>Уплотнитель типа "Вилатерм"</t>
  </si>
  <si>
    <t>Гернитовый шнур ТН Фундамент 40/20</t>
  </si>
  <si>
    <t>Техноэласт Фундамент (защитная прокладка)</t>
  </si>
  <si>
    <t>Праймер  полимерный Технониколь №08 быстросохнущий</t>
  </si>
  <si>
    <t xml:space="preserve">Монтаж навесных трехслойных сэндвич панелей Trimoterm FTV (или аналог) толщ. 200 мм с заполнением минплитами </t>
  </si>
  <si>
    <t>Монтаж декоративного вентфасада на металлическом каркасе</t>
  </si>
  <si>
    <t>Монтаж ламеллей (высотой 3,5 м и 1,75 м)</t>
  </si>
  <si>
    <t>Монтаж декоративного металлических ламелей (h сред. = 3,5 м)</t>
  </si>
  <si>
    <t>Монтаж декоративного металлических ламелей (h сред. = 1,75 м)</t>
  </si>
  <si>
    <t xml:space="preserve">Отделка цоколя </t>
  </si>
  <si>
    <t>Грунтовка в 2 слоя (по кирпичной кладке)</t>
  </si>
  <si>
    <t>Штукатурка по сетке до 20 мм</t>
  </si>
  <si>
    <t>Облицовка керамогранитной плиткой 600х1200х11мм на плиточном клею 10мм</t>
  </si>
  <si>
    <t>Монтаж фундаментных блоков ФБС (3 ряда)  под устройство стен из керамзитобетонных блоков ниже нуля</t>
  </si>
  <si>
    <t>Ведомость объемов работ (ВОР)</t>
  </si>
  <si>
    <t>на выполнение работ по устройству железобетонных конструкций, металлоконструкции, возведение внутренних стен и перегородок, устройство фасада.</t>
  </si>
  <si>
    <t>Объект: «Семейный физкультурно-оздоровительный комплекс «Термолэнд-Дельфин» по адресу: г. Смоленск, ул. Кутузова, д. 2Г</t>
  </si>
  <si>
    <t>Основание:</t>
  </si>
  <si>
    <t xml:space="preserve"> РД  ГКО-1630/24-Р-КЖ01 "Конструкции ж/б. Свайное поле. Конструкции фундамента блоков: 1,2,3,4"</t>
  </si>
  <si>
    <t xml:space="preserve"> РД  ГКО-1630/24-Р-КЖ02 "Конструкции ж/б ниже отм. 0.000. Вертикальные несущие конструкции. Конструкции плит перекрытия"</t>
  </si>
  <si>
    <t xml:space="preserve"> РД  ГКО-1630/24-Р-ЭГ "Молниезащита и заземление"</t>
  </si>
  <si>
    <t xml:space="preserve"> РД  ГКО-1630/24-Р-АР01 ""Архитектурные решения. Архитектурные решения ниже отм. 0,000"</t>
  </si>
  <si>
    <t>ПД№4 ГКО-1630-24-П-КР изм. 2 "Конструктивные решения"</t>
  </si>
  <si>
    <t>1.1.</t>
  </si>
  <si>
    <t>1.2.</t>
  </si>
  <si>
    <t>Устройство основания под ФП  (бетонная подготовка толщ 100 мм, оклеечная гидроизоляция в 2 сл., цементно-песчанная стяжка М200 толщ. 30 мм)</t>
  </si>
  <si>
    <t>Устройство бетонной подготовки, бетон В15, толщ 100 мм</t>
  </si>
  <si>
    <t>Устройство фундаментной плиты, армирование 74,85 кг/м3</t>
  </si>
  <si>
    <t>Деформационный шов в фундаменте</t>
  </si>
  <si>
    <t xml:space="preserve">Раздел: 2. Деформационный шов в фундаменте </t>
  </si>
  <si>
    <t>2.1.</t>
  </si>
  <si>
    <t xml:space="preserve">Раздел: 3. Заземления </t>
  </si>
  <si>
    <t>3.1.</t>
  </si>
  <si>
    <t>Раздел: 4 Подпорная стена</t>
  </si>
  <si>
    <t>4.1.</t>
  </si>
  <si>
    <t>Устройство щебеночного основания, из щебня фр 10-20 и отсев , t=50 мм</t>
  </si>
  <si>
    <t>Устройство основания под подпорную стенку  (щебеночное основание, бетонная подготовка толщ 140 мм, оклеечная гидроизоляция в 2 сл.)</t>
  </si>
  <si>
    <t>4.2.</t>
  </si>
  <si>
    <t>Устройство подпорной стенки (подошва - армиров.- 124,6 кг/м3, стена армир -121,4 кг/м3)</t>
  </si>
  <si>
    <t>4.3.</t>
  </si>
  <si>
    <t>Раздел 5 Наружный бассейн (блок 5)</t>
  </si>
  <si>
    <t>5.1.</t>
  </si>
  <si>
    <t>5.2.</t>
  </si>
  <si>
    <t xml:space="preserve">Устройство основания под наружный бассейн </t>
  </si>
  <si>
    <t>Устройство днища  наружного бассейна  (армиров.-133,7 кг/м3)</t>
  </si>
  <si>
    <t>Бетон В25 W150 W6</t>
  </si>
  <si>
    <t>5.3.</t>
  </si>
  <si>
    <t>Устройство стен наружного бассейна толщ. 300 мм и 400 мм (армир.- 123,02 кг/м3)</t>
  </si>
  <si>
    <t>5.4.</t>
  </si>
  <si>
    <t>Раздел 6 Устройство блока 1</t>
  </si>
  <si>
    <t>6.1.</t>
  </si>
  <si>
    <t>6.2.</t>
  </si>
  <si>
    <t>Устройство защитной стенки (2 сл. Гидроизоляции, утеплителя 100 мм, защитной кирпичной стенки толщ 120 мм</t>
  </si>
  <si>
    <t>6.3.</t>
  </si>
  <si>
    <t>6.4.</t>
  </si>
  <si>
    <t>6.5.</t>
  </si>
  <si>
    <t>Бетонирование лестничных маршей, бетон В25 W4 F75 (армир. -172,6 кг/м3)</t>
  </si>
  <si>
    <t>6.6.</t>
  </si>
  <si>
    <t>6.7.</t>
  </si>
  <si>
    <t>Устройство монолитных днищ купелей и бассейнов (армиров. - 133,6 кг/м3), бетон В25 W4 F75</t>
  </si>
  <si>
    <t>Бетонирование стен, бетон В25 F150 W6, толщина стен 200 мм, высотой 1,45 м</t>
  </si>
  <si>
    <t>Устройство монолитных стен купелей и бассейнов (армиров. - 186,2 кг/м3). Бетон  бетон В25 F150 W6</t>
  </si>
  <si>
    <t>Устройство плит перекрытия толщ 250 мм с капителями (армиров.- 185,7 кг/м3),  бетон В25 W4 F75</t>
  </si>
  <si>
    <t>Устройство монолитных колонн, высотой до 4 м и свыше 4 м (армир. -224,5 кг/м3), бетон В25 W4 F75</t>
  </si>
  <si>
    <t>Раздел 7. Устройство железобетонных конструкций блока 2</t>
  </si>
  <si>
    <t>7.1.</t>
  </si>
  <si>
    <t>7.2.</t>
  </si>
  <si>
    <t>Устройство стен толщ 200 мм, выс 3,35 м, (армиров. -200,2 кг/м3), бетон В25 F150 W6</t>
  </si>
  <si>
    <t>7.3.</t>
  </si>
  <si>
    <t>Устройство монолитных колонн, высотой до 4 м(армир. -242,2 кг/м3) и до 6 м (армир. -324 кг/м3) и более 6 м (армир. -193,6 кг/м3), бетон В25 W4 F75</t>
  </si>
  <si>
    <t>7.4.</t>
  </si>
  <si>
    <t xml:space="preserve">Устройство опалубки перекрытий t=250 мм с капителями </t>
  </si>
  <si>
    <t>Устройство плит перекрытия толщ 250 мм с капителями (армиров.- 189,0 кг/м3),  бетон В25 W4 F75</t>
  </si>
  <si>
    <t>Устройство монолитных лестничных маршей (6 шт), армир. -174,3 кг/м3</t>
  </si>
  <si>
    <t>Устройство монолитных днищ купелей и бассейнов блока 2, армир. -171,5 кг/м3</t>
  </si>
  <si>
    <t>Устройство монолитных стен купелей и бассейнов блока 2, армир. -174,1 кг/м3</t>
  </si>
  <si>
    <t>7.5.</t>
  </si>
  <si>
    <t>7.6.</t>
  </si>
  <si>
    <t>7.7.</t>
  </si>
  <si>
    <t>Раздел 8 Устройство металлических конструкций блока 2</t>
  </si>
  <si>
    <t>8.1.</t>
  </si>
  <si>
    <t>8.2.</t>
  </si>
  <si>
    <t>8.3.</t>
  </si>
  <si>
    <t>8.4.</t>
  </si>
  <si>
    <t>Монтаж прогонов, швеллер 18П  и балок покрытия блока 2</t>
  </si>
  <si>
    <t>8.5.</t>
  </si>
  <si>
    <t>Изготовление и монтаж связей и распорок блока 2</t>
  </si>
  <si>
    <t>Монтаж металлических колонн блока 2</t>
  </si>
  <si>
    <t>Монтаж профнастила блока 2</t>
  </si>
  <si>
    <t>8.6.</t>
  </si>
  <si>
    <t>8.7.</t>
  </si>
  <si>
    <t>Защита металлоконструкций блока 2</t>
  </si>
  <si>
    <t>Раздел 9 Устройство железобетонных конструкций блока 3</t>
  </si>
  <si>
    <t>9.1.</t>
  </si>
  <si>
    <t>Устройство монолитных стен выс. Выше 3 м, армир. - 112,9 кг/м3</t>
  </si>
  <si>
    <t>Бетонирование стен, бетон В25 F150 W6, толщиной 200 мм (высотами 3,35, 4,4, 5,4)</t>
  </si>
  <si>
    <t>9.2.</t>
  </si>
  <si>
    <t>9.3.</t>
  </si>
  <si>
    <t>9.4.</t>
  </si>
  <si>
    <t>9.5.</t>
  </si>
  <si>
    <t>Устройство монолитных колонн, высотой до 4 м(армир. -278,4 кг/м3) и до 6 м (армир. -266,5 кг/м3) и более 6 м (армир. -189,9 кг/м3), бетон В25 W4 F75</t>
  </si>
  <si>
    <t>Устройство плит перекрытия толщ 250 мм с капителями (армиров.- 213,8 кг/м3),  бетон В25 W4 F75</t>
  </si>
  <si>
    <t>Устройство монолитных лестничных маршей, армир. -174,3 кг/м3</t>
  </si>
  <si>
    <t>9.6.</t>
  </si>
  <si>
    <t>9.7.</t>
  </si>
  <si>
    <t>Устройство монолитных стен бассейна, армир. - 100,6 кг/м3</t>
  </si>
  <si>
    <t>Устройство монолитных днищ бассейна блока 3, армир. -230,3 кг/м3</t>
  </si>
  <si>
    <t>Раздел 10 Устройство металлических конструкций блока 3</t>
  </si>
  <si>
    <t>10.1.</t>
  </si>
  <si>
    <t>10.2.</t>
  </si>
  <si>
    <t>10.3.</t>
  </si>
  <si>
    <t>10.4.</t>
  </si>
  <si>
    <t>Изготовление и монтаж металлических ферм блока 2</t>
  </si>
  <si>
    <t>Изготовление и монтаж металлических ферм блока 3</t>
  </si>
  <si>
    <t>Монтаж металлических колонн, блок 3</t>
  </si>
  <si>
    <t>Изготовление и монтаж связей и распорок и балок покрытия блока 3</t>
  </si>
  <si>
    <t>Монтаж покрытия из металла блока 2</t>
  </si>
  <si>
    <t>Монтаж покрытия из металла блока 3</t>
  </si>
  <si>
    <t>10.5.</t>
  </si>
  <si>
    <t>Монтаж профнастила блока 3</t>
  </si>
  <si>
    <t>10.6.</t>
  </si>
  <si>
    <t>Устройство пандуса из металла</t>
  </si>
  <si>
    <t>10.7.</t>
  </si>
  <si>
    <t>Защита металлоконструкций блока 3</t>
  </si>
  <si>
    <t>Раздел 11 Устройство железобетонных конструкций блока 4</t>
  </si>
  <si>
    <t>11.1.</t>
  </si>
  <si>
    <t>Бетонирование стен толщиной 200 мм, высотой 3,95, 2,7 м,бетон В25 F150 W6</t>
  </si>
  <si>
    <t>Устройство монолитных стен, армиров.- 147,4 кг/м3</t>
  </si>
  <si>
    <t>11.2.</t>
  </si>
  <si>
    <t>11.3.</t>
  </si>
  <si>
    <t>Устройство монолитных колонн, армир. -313,9 кг/м3</t>
  </si>
  <si>
    <t>Устройство монолитных плит перекрытия</t>
  </si>
  <si>
    <t>11.4.</t>
  </si>
  <si>
    <t>Устройство монолитных лестничных маршей</t>
  </si>
  <si>
    <t>Устройство монолитных днищ купелей толщ 250 мм</t>
  </si>
  <si>
    <t>11.5.</t>
  </si>
  <si>
    <t>Раздел 12 Возведение внутренних перегородок и стен</t>
  </si>
  <si>
    <t>12.1.</t>
  </si>
  <si>
    <t>12.2.</t>
  </si>
  <si>
    <t>12.3.</t>
  </si>
  <si>
    <t>12.4.</t>
  </si>
  <si>
    <t>12.5.</t>
  </si>
  <si>
    <t>13.1.</t>
  </si>
  <si>
    <t>Отделка цоколя  выше отмостки</t>
  </si>
  <si>
    <t>Устройство стен толщ 200 мм с уширением под колонны (армир.- 124,8 кг/м3), бетон В25 F150 W6</t>
  </si>
  <si>
    <t>Бетонирование плиты ростверка, бетон В25 F150 W6</t>
  </si>
  <si>
    <t>Бетонирование стен толщиной 200 мм с уширением под колонны, бетон В25 F150 W6, высотами (3,35, 4,4, 5,4, 4,8 )</t>
  </si>
  <si>
    <t>Бетонирование стен толщиной 200 мм, высотой 3,35 м, бетон В25 F150 W6</t>
  </si>
  <si>
    <t>Бетонирование стен бассейна, бетон В25 F150 W6 толщиной 400 высотой от 2 до 2,5 метров</t>
  </si>
  <si>
    <t>Монтаж фундаментных блоков ФБС (3 ряда)  под устройство стен из керамзитобетонных блоков ниже нуля на ЦПР М75</t>
  </si>
  <si>
    <t>Объем работ / Количество ПТО</t>
  </si>
  <si>
    <t>Объем работ / Количество Экспертиза</t>
  </si>
  <si>
    <t>4.1</t>
  </si>
  <si>
    <t>4.2</t>
  </si>
  <si>
    <t>Разница "+"/ "-" 
= "4.1"-"4"</t>
  </si>
  <si>
    <t>Устройство армирования плиты ростверка</t>
  </si>
  <si>
    <t>Бетон В15 (М200)</t>
  </si>
  <si>
    <t>Материал рулонный СБС-модифицированный ЭПП</t>
  </si>
  <si>
    <t>Песок природный для строительных работ II класс, средний</t>
  </si>
  <si>
    <t>Портландцемент общестроительного назначения бездобавочный М400 Д0 (ЦЕМ I 32,5Н)</t>
  </si>
  <si>
    <t>Мастика битумная</t>
  </si>
  <si>
    <t>Раствор готовый кладочный, цементный, М200</t>
  </si>
  <si>
    <t>Бетон В25 F150 W6</t>
  </si>
  <si>
    <t>Арматура 14 A500C</t>
  </si>
  <si>
    <t>бетон В25 W150 W6</t>
  </si>
  <si>
    <t xml:space="preserve">Щебень 40-70 </t>
  </si>
  <si>
    <t>Щебень фр 10-20</t>
  </si>
  <si>
    <t>Бетон В7,5</t>
  </si>
  <si>
    <t>Битум строительный</t>
  </si>
  <si>
    <t>Щиты настила, толщина 40 мм, с оборачиваемостью</t>
  </si>
  <si>
    <t>Арматура 6 А240С</t>
  </si>
  <si>
    <t>Устройство защитной стенки (2 сл. Гидроизоляции, утеплителя 100 мм, защитной кирпичной стенки толщ 120 мм)</t>
  </si>
  <si>
    <t>Плиты теплоизоляционные из экструзионного пенополистирола</t>
  </si>
  <si>
    <t>Раствор кладочный, цементно-известковый, М100</t>
  </si>
  <si>
    <t>Кирпич керамический клинкерный полнотелый одинарный, размеры 250х120х65 мм, марка 300</t>
  </si>
  <si>
    <t>1000шт</t>
  </si>
  <si>
    <t>Бетон В25 W4 F75</t>
  </si>
  <si>
    <t>Металлоконструкции вспомогательного назначения</t>
  </si>
  <si>
    <t>Стойка металлическая телескопическая для опалубки</t>
  </si>
  <si>
    <t>2.2.</t>
  </si>
  <si>
    <t xml:space="preserve">Металлоконструкции вспомогательного назначения </t>
  </si>
  <si>
    <t>Огнезащита металлических констурукций краской Тексотерм, расход 0,37 кг/м2</t>
  </si>
  <si>
    <t>11.6.</t>
  </si>
  <si>
    <t>шт/кг</t>
  </si>
  <si>
    <t>12.6.</t>
  </si>
  <si>
    <t>12.7.</t>
  </si>
  <si>
    <t>12.8.</t>
  </si>
  <si>
    <t>12.9.</t>
  </si>
  <si>
    <t>12.10.</t>
  </si>
  <si>
    <t>Раздел 13 Фасады</t>
  </si>
  <si>
    <t>13.2.</t>
  </si>
  <si>
    <t>13.3.</t>
  </si>
  <si>
    <t>13.4.</t>
  </si>
  <si>
    <t>Монтаж ламеллей (высотой 3,5 м и 1,75 м):</t>
  </si>
  <si>
    <t>Сэндвич-панель трехслойная стеновая, сердцевина из базальтового волокна, металлическая облицовка с двух сторон толщиной 0,7 мм, тип покрытия полиэстер, внутренняя облицовка гладкая, наружная облицовка накатка, с симметричным замком, толщина 200 мм</t>
  </si>
  <si>
    <t>Панель стеновая антивандальная на основе стекломагниевого листа с полимерным покрытием, с матовой поверхностью, НГ, толщина 12 мм, включая конструкции навесной фасадной системы с воздушным зазором</t>
  </si>
  <si>
    <t>Панель-сайдинг фасадная из оцинкованной стали с полимерным покрытием для навесных вентилируемых фасадов, рабочая ширина 226 мм, толщина 0,5 мм (Ламели сечением 500х100 мм алюминиевые 1,2 мм с пластизольевым покрытием  (h сред. = 3,5 м), с шагом установки 300 мм (578 шт.)) (прим.)</t>
  </si>
  <si>
    <t>Панель-сайдинг фасадная из оцинкованной стали с полимерным покрытием для навесных вентилируемых фасадов, рабочая ширина 226 мм, толщина 0,5 мм (Ламели сечением 500х100 мм алюминиевые 1,2 мм с пластизольевым покрытием  (h сред. = 1,75 м), с шагом установки 300 мм (509 шт.)) (прим.)</t>
  </si>
  <si>
    <t>Кладка стен из легкобетонных камней без облицовки: при высоте этажа до 4 м</t>
  </si>
  <si>
    <t>Раствор готовый кладочный, цементно-песчаный, М150</t>
  </si>
  <si>
    <t>Камни керамзитобетонные стеновые, пустотелые, размеры 390X190X188 мм, марка 50</t>
  </si>
  <si>
    <t>Армирование кладки стен и других конструкций</t>
  </si>
  <si>
    <t>Дюбель-гвозди стальные оцинкованные с шайбами, диаметр 4,5 мм, длина 60 мм</t>
  </si>
  <si>
    <t>м</t>
  </si>
  <si>
    <t>Кладка перегородок из кирпича: неармированных толщиной в 1/2 кирпича при высоте этажа до 4 м</t>
  </si>
  <si>
    <t>Кирпич керамический полнотелый одинарный, размеры 250х120х65 мм, марка 100</t>
  </si>
  <si>
    <t>1000 шт</t>
  </si>
  <si>
    <t>Смеси бетонные тяжелого бетона (БСТ), класс В20 (М250)</t>
  </si>
  <si>
    <t>Арматура 6 А500С</t>
  </si>
  <si>
    <t>Проволока арматурная класс Вр-1, диаметр 4-5 мм</t>
  </si>
  <si>
    <t>Щиты настила, толщина 40 мм</t>
  </si>
  <si>
    <t>Изоляция изделиями из волокнистых и зернистых материалов на битуме холодных поверхностей: перегородок</t>
  </si>
  <si>
    <t>Плиты из минеральной ваты на синтетическом связующем теплоизоляционные ПМ-40, мягкие, плотность 40-45 кг/м3</t>
  </si>
  <si>
    <t>Устройство перегородок из гипсокартонных листов (ГКЛ) с одинарным металлическим каркасом и двухслойной обшивкой с обеих сторон: с одним дверным проемом</t>
  </si>
  <si>
    <t>Листы гипсокартонные влагостойкие огнестойкие ГКЛВО, толщина 12,5 мм</t>
  </si>
  <si>
    <t>Плиты теплоизоляционные из минеральной ваты на основе стекловолокна, группа горючести НГ, плотность 15 кг/м3, теплопроводность при 10/25 °C не более 0,037/0,040 Вт/(м*К)</t>
  </si>
  <si>
    <t>Устройство глухих перегородок из гипсокартонных листов (ГКЛ) с двойным металлическим каркасом с пространством для пропуска коммуникаций и двухслойной обшивкой с обеих сторон</t>
  </si>
  <si>
    <t>Облицовка стен по одинарному металлическому каркасу из направляющих и стоечных профилей гипсокартонными листами в два слоя: с дверным проемом</t>
  </si>
  <si>
    <t>Изоляция изделиями из волокнистых и зернистых материалов на битуме холодных поверхностей: стен и колонн прямоугольных</t>
  </si>
  <si>
    <t>Установка монтажным дюбелем 4,5х60 мм перфорированной полосы в=50 мм и длиной 400 мм</t>
  </si>
  <si>
    <t xml:space="preserve">Устройство перемычек </t>
  </si>
  <si>
    <t>Перфорированная полоса в=50 мм и длиной 400 мм</t>
  </si>
  <si>
    <t>Сетка арматурная сварная легкая из арматурной проволоки класса 3ВрI c яч. 50х50 мм</t>
  </si>
  <si>
    <t>Облицовка стен по одинарному металлическому каркасу из направляющих и стоечных профилей гипсоволокнистыми листами или гипсостружечными плитами в один слой: с дверным проемом</t>
  </si>
  <si>
    <t>4/197,2</t>
  </si>
  <si>
    <t>Полоса стальная омедненная 30*4 мм,  толщина покрытия 70 мкм, бухта 10 м, ZZ-11075-10, вес 9,8 кг</t>
  </si>
  <si>
    <t>2/19,6</t>
  </si>
  <si>
    <t xml:space="preserve"> Зажим с промежуточной пластиной для подключения проводника (D14; до 40 мм; нерж. сталь; без самоотвинчивания), ZZ-005-064, масса -0,312 кг</t>
  </si>
  <si>
    <t>10/3,12</t>
  </si>
  <si>
    <t xml:space="preserve"> Нержавеющий зажим контрольный с промежуточной пластиной (AISI
304; D8-10+T&lt;40; двухболтовой), ZZ-11562,  масса -0,12 кг</t>
  </si>
  <si>
    <t>7/0,84</t>
  </si>
  <si>
    <t>Штырь заземления омедненный резьбовой (D14; 1,5 м; толщина покрытия 250 мкм; нанесение электролитическое), ZZ-001-065, масса-2 кг</t>
  </si>
  <si>
    <t>Муфта соединительная резьбовая (5/8’’ 11 UNC; легированная латунь; Zn&gt;37%), ZZ-002-061, масса -0,082 кг</t>
  </si>
  <si>
    <t>8/0,656</t>
  </si>
  <si>
    <t>Наконечник стальной стартовый (5/8’’ 11 UNC), ZZ-003-061, масса - 074 кг</t>
  </si>
  <si>
    <t>7/0,518</t>
  </si>
  <si>
    <t>Головка направляющая для насадки на отбойный молоток (5/8’’ 11 UNC; нормализационный отжиг), ZZ-004-060, масса -0,088 кг</t>
  </si>
  <si>
    <t>3/0,264</t>
  </si>
  <si>
    <t>Смазка контактная токопроводящая с углеродным волокном (туба;100 г). ZZ-006-000, масса-0,152 кг</t>
  </si>
  <si>
    <t>1/0,152</t>
  </si>
  <si>
    <t xml:space="preserve"> Лента гидроизоляционная нетканная с ингибиторами коррозии (ширина 50 мм; рулон 10 м), ZZ-007-030</t>
  </si>
  <si>
    <t>Насадка стальная на отбойный молоток (SDS max; индукционная закалка), ZZ-008-000, 0,475 кг</t>
  </si>
  <si>
    <t>1/0,475</t>
  </si>
  <si>
    <t>Возведение внутренних стен (подвальный этаж h=3,35 м)</t>
  </si>
  <si>
    <t>Возведение внутренних перегородок (подвальный этаж h=3,35 м)</t>
  </si>
  <si>
    <t>Возведение внутренних стен (первый этаж h=4,4 м)</t>
  </si>
  <si>
    <t>Возведение внутренних перегородок (первый этаж h=4,4 м)</t>
  </si>
  <si>
    <t>Возведение внутренних стен (второй этаж h=5,4 м)</t>
  </si>
  <si>
    <t>Возведение внутренних перегородок (второй этаж h=5,4 м)</t>
  </si>
  <si>
    <t>Возведение внутренних стен (третий этаж h=3,4 м)</t>
  </si>
  <si>
    <t>Возведение внутренних перегородок (третий этаж h=3,4 м)</t>
  </si>
  <si>
    <t>12.11.</t>
  </si>
  <si>
    <t>Возведение внутренних стен (третий этаж h=4,8 м)</t>
  </si>
  <si>
    <t>Возведение внутренних перегородок (третий этаж h=4,8 м)</t>
  </si>
  <si>
    <t>12.12.</t>
  </si>
  <si>
    <t>Полоса 30*4 мм, толщина покрытия 70 мкм, бухта 50 м, ZZ-11075-50, вес 49,3 кг</t>
  </si>
  <si>
    <t xml:space="preserve">Устройство контура заземления </t>
  </si>
  <si>
    <t>3 этаж</t>
  </si>
  <si>
    <t>2 этаж</t>
  </si>
  <si>
    <t>Прокладка стальной оцинкованной полосы 40х4мм «NC2444» по периметру здания в траншее, на глубине не менее 0,5 м от поверхности земли и на расстоянии не менее 1 м от стен.</t>
  </si>
  <si>
    <t>Крепление полосы с помощью соединителя пруток-полоса с разделительной пластиной «NG3101» в кол-ве 1 шт. Крепление полосы с помощью соединителя пруток-полоса с разделительной пластиной «NG3105» в кол-ве 1 шт.</t>
  </si>
  <si>
    <t>Изолирование соединителей антикоррозионной лентой «NA1001» в кол-ве рулон 1 шт длина 10м, ширина 100мм.</t>
  </si>
  <si>
    <t>Раздел 8. Устройство железобетонных конструкций блока 2, подземная часть</t>
  </si>
  <si>
    <t>Раздел 10: Устройство металлических конструкций блока 2</t>
  </si>
  <si>
    <t>Раздел 11: Устройство железобетонных конструкций блока 3, подземная часть</t>
  </si>
  <si>
    <t>13.7.</t>
  </si>
  <si>
    <t>13.5.</t>
  </si>
  <si>
    <t>Устройство пандуса из металла, блок 3, подземная часть</t>
  </si>
  <si>
    <t>Изготовление и монтаж металлических ферм блока 3, надземная часть</t>
  </si>
  <si>
    <t>Монтаж металлических колонн, блок 3, надземная часть</t>
  </si>
  <si>
    <t>Изготовление и монтаж связей и распорок и балок покрытия блока 3, надземная часть</t>
  </si>
  <si>
    <t>Монтаж покрытия из металла блока 3 надземная часть</t>
  </si>
  <si>
    <t>Монтаж профнастила блока 3, надземная часть</t>
  </si>
  <si>
    <t>13.6.</t>
  </si>
  <si>
    <t>Раздел: 14 Устройство железобетонных конструкций блока 4 подземная часть</t>
  </si>
  <si>
    <t>Раздел: 15 Устройство железобетонных конструкций блока 4 надземная часть</t>
  </si>
  <si>
    <t>15.1.</t>
  </si>
  <si>
    <t>15.3.</t>
  </si>
  <si>
    <t>15.4.</t>
  </si>
  <si>
    <t>15.5.</t>
  </si>
  <si>
    <t>16.1.</t>
  </si>
  <si>
    <t>Раздел: 16 Возведение внутренних перегородок и стен, подземная часть</t>
  </si>
  <si>
    <t>16.2.</t>
  </si>
  <si>
    <t>16.3.</t>
  </si>
  <si>
    <t>Раздел: 17 Возведение внутренних перегородок и стен, надземная часть</t>
  </si>
  <si>
    <t>17.1.</t>
  </si>
  <si>
    <t>17.2.</t>
  </si>
  <si>
    <t>17.3.</t>
  </si>
  <si>
    <t>17.4.</t>
  </si>
  <si>
    <t>Арматура 28 А500С</t>
  </si>
  <si>
    <t>Устройство монолитных стен, армиров.- 221,29 кг/м3</t>
  </si>
  <si>
    <t>м/кг</t>
  </si>
  <si>
    <t>380/477,28</t>
  </si>
  <si>
    <t>14.1.</t>
  </si>
  <si>
    <t>14.2.</t>
  </si>
  <si>
    <t>14.3.</t>
  </si>
  <si>
    <t>14.4.</t>
  </si>
  <si>
    <t>14.5.</t>
  </si>
  <si>
    <t>Раздел 7: Устройство железобетонных конструкций блока 1, надземная часть</t>
  </si>
  <si>
    <t>Раздел 9. Устройство железобетонных конструкций блока 2, надземная часть</t>
  </si>
  <si>
    <t>Раздел 12. Устройство железобетонных конструкций блока 3, надземная часть</t>
  </si>
  <si>
    <t>Устройство стен толщ 200 мм с уширением под колонны (армир.- 150,48 кг/м3), бетон В25 F150 W6 на отм. -3,700 м</t>
  </si>
  <si>
    <t>Устройство монолитных колонн, высотой до 4 м (армир. -399,85 кг/м3), бетон В25 W4 F75 на отм. -3,700 м</t>
  </si>
  <si>
    <t>Устройство плит перекрытия толщ 250 мм с капителями (армиров.-144,74  кг/м3),  бетон В25 W4 F75 на отм. -0,100 м</t>
  </si>
  <si>
    <t>Устройство стен наружного бассейна толщ. 300 мм и 400 мм (армир. Стен - 189,7кг/м3)</t>
  </si>
  <si>
    <t>Устройство стен толщ 200 мм с уширением под колонны (армир.- 465,6 кг/м3), бетон В25 F150 W6 на отм. -0,100 м</t>
  </si>
  <si>
    <t>Устройство плит перекрытия толщ 250 мм с капителями (армиров.- 206,7 кг/м3),  бетон В25 W4 F75</t>
  </si>
  <si>
    <t>Устройство монолитных днищ купелей и бассейнов (армиров. - 132,5 кг/м3), бетон В25 W4 F75</t>
  </si>
  <si>
    <t>Устройство монолитных стен купелей и бассейнов (армиров. - 185,8 кг/м3). Бетон  бетон В25 F150 W6</t>
  </si>
  <si>
    <t>Устройство стен толщ 200 мм с уширением под колонны (армир.- 150,6 кг/м3), бетон В25 F150 W6, на отм. -3,700 м</t>
  </si>
  <si>
    <t>Устройство монолитных колонн, высотой до 4 м и свыше 4 м (армир. -119,1 кг/м3), бетон В25 W4 F75 на отм. -3,700 м</t>
  </si>
  <si>
    <t>Устройство плит перекрытия толщ 250 мм с капителями (армиров.- 144,5 кг/м3),  бетон В25 W4 F75</t>
  </si>
  <si>
    <t>Устройство стен толщ 200 мм, выс 3,35 м, (армиров. -587,7 кг/м3), бетон В25 F150 W6</t>
  </si>
  <si>
    <t>Устройство монолитных колонн, высотой до 4 м(армир. -730,1 кг/м3) и до 6 м (армир. -324 кг/м3) и более 6 м (армир. -193,6 кг/м3), бетон В25 W4 F75</t>
  </si>
  <si>
    <t>Устройство плит перекрытия толщ 250 мм с капителями (армиров.- 295,7 кг/м3),  бетон В25 W4 F75</t>
  </si>
  <si>
    <t>Устройство монолитных днищ купелей и бассейнов блока 2, армир. -171,0 кг/м3</t>
  </si>
  <si>
    <t>Устройство стен толщ 200 мм с уширением под колонны (армир.- 150,5 кг/м3), бетон В25 F150 W6 на отм. -3,700 м</t>
  </si>
  <si>
    <t>Устройство монолитных колонн, высотой до 4 м  (армир. -28,5 кг/м3), бетон В25 W4 F75 на отм. -3,700 м</t>
  </si>
  <si>
    <t>Устройство плит перекрытия толщ 250 мм с капителями (армиров.- 130,9 кг/м3),  бетон В25 W4 F75 на отм. -0,100 м</t>
  </si>
  <si>
    <t>Устройство монолитных стен выс. Выше 3 м, армир. - 110,7 кг/м3</t>
  </si>
  <si>
    <t>Устройство плит перекрытия толщ 250 мм с капителями (армиров.- 267,9 кг/м3),  бетон В25 W4 F75</t>
  </si>
  <si>
    <t>Устройство монолитных лестничных маршей, армир. -96,7 кг/м3</t>
  </si>
  <si>
    <t>Устройство монолитных стен бассейна, армир. - 100,7 кг/м3</t>
  </si>
  <si>
    <t>Устройство стен толщ 200 мм с уширением под колонны (армир.- 150,5 кг/м3), бетон В25 F150 W6</t>
  </si>
  <si>
    <t>Устройство монолитных колонн, высотой до 4 м (армир. -193,5 кг/м3), бетон В25 W4 F75</t>
  </si>
  <si>
    <t>Устройство плит перекрытия толщ 250 мм с капителями (армиров.- 142,3 кг/м3),  бетон В25 W4 F75</t>
  </si>
  <si>
    <t>Устройство монолитных колонн, армир. -563,1 кг/м3</t>
  </si>
  <si>
    <t>15.2.</t>
  </si>
  <si>
    <t>Устройство монолитных плит перекрытия, армир. -220,9 кг/м3</t>
  </si>
  <si>
    <t>Устройство монолитных лестничных маршей, армир. 178,4-кг/м3</t>
  </si>
  <si>
    <t>Устройство монолитных днищ купелей толщ 250 мм, армир. -111,9 кг/м3</t>
  </si>
  <si>
    <t xml:space="preserve">Раздел 5 Наружный бассейн (блок 5) </t>
  </si>
  <si>
    <t>Раздел 6: Устройство железобетонных конструкций блока 1 подземная часть</t>
  </si>
  <si>
    <t>Засыпка песком на высоту 1,56м для поднятия уровня пола в подвале под блоком 1</t>
  </si>
  <si>
    <t>Устройство защитной стенки из кирпичной кладки, кирпич КР-кл-по 250х120х65/1НФ/500/2,0/100, на р-ре М100, толщиной 120 мм</t>
  </si>
  <si>
    <t>Устройство защитной стенки (2 сл. Гидроизоляции, утеплителя 100 мм)</t>
  </si>
  <si>
    <t xml:space="preserve"> Устройство монолитных лестничных маршей, бетон В25 W4 F75 (армир. -70,60 кг/м3) на отм. -3,700 м</t>
  </si>
  <si>
    <t>Устройство монолитных лестничных маршей, бетон В25 W4 F75 (армир. -207 кг/м3)</t>
  </si>
  <si>
    <t>4.4.</t>
  </si>
  <si>
    <t xml:space="preserve">Раздел: 13 Устройство металлических конструкций блока 3 </t>
  </si>
  <si>
    <t>Устройство монолитных лестничных маршей, бетон В25 W4 F75 (армир. -145,9 кг/м3)</t>
  </si>
  <si>
    <t>Устройство монолитных лестничных маршей, бетон В25 W4 F75 (армир. -120,7 кг/м3) на отм. -3,700 м</t>
  </si>
  <si>
    <t>Краска  "Тексотер" расход 0,37 кг/м2</t>
  </si>
  <si>
    <t>6</t>
  </si>
  <si>
    <t xml:space="preserve"> РД  ГКО-1630/24-Р-АР01 "Архитектурные решения. Архитектурные решения ниже отм. 0,000"</t>
  </si>
  <si>
    <t xml:space="preserve"> РД  ГКО-1630/24-Р-АР1 "Архитектурные решения. Архитектурные решения выше отм. 0,000"</t>
  </si>
  <si>
    <t xml:space="preserve">Объем работ / Количество ПТО </t>
  </si>
  <si>
    <t>Устройство монолитных лестничных маршей, бетон В25 W4 F75 (армир. -30,1 кг/м3) на отм. -3,700 м</t>
  </si>
  <si>
    <t>14.6.</t>
  </si>
  <si>
    <t>Антикоррозионая защита толщ 160 мкм (в т.ч. горячее цинковое покрытие, акриловая грунтовка, акриловая эмаль)</t>
  </si>
  <si>
    <t>Кладка стен толщ 188 мм из легкобетонных камней без облицовки: при высоте этажа до 4 м</t>
  </si>
  <si>
    <t xml:space="preserve"> шт</t>
  </si>
  <si>
    <t>Кладка стен из легкобетонных камней без облицовки: при высоте этажа до 4 м толщ 188  мм</t>
  </si>
  <si>
    <t xml:space="preserve">Кладка стен из легкобетонных камней без облицовки: при высоте этажа до 4 м </t>
  </si>
  <si>
    <t>Кладка стен из легкобетонных камней без облицовки: при высоте этажа до 4 м толщ 188 мм, 118 мм</t>
  </si>
  <si>
    <t>Кладка стен из легкобетонных камней без облицовки: при высоте этажа до 4 м, 188 мм, 118 мм</t>
  </si>
  <si>
    <t>Кладка перегородок из кирпича: неармированных толщиной 1/2 кирпича при высоте этажа до 4 м</t>
  </si>
  <si>
    <t>Устройство основания под подпорную стенку  (щебеночное основание, бетонная подготовка толщ 140 мм)</t>
  </si>
  <si>
    <t xml:space="preserve">Устройство основания под наружный бассейн (бетонная подготовка, гидроизоляция, ЦПС </t>
  </si>
  <si>
    <t>на выполнение работ по устройству монолитных железобетонных конструкций и металлоконструкций, возведение внутренних стен и перегородок.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</si>
</sst>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"/>
    <numFmt numFmtId="166" formatCode="0.000"/>
    <numFmt numFmtId="167" formatCode="#,##0.00000"/>
  </numFmts>
  <fonts count="2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FF0000"/>
      <name val="Arial"/>
      <family val="2"/>
      <charset val="204"/>
    </font>
    <font>
      <i/>
      <sz val="11"/>
      <color theme="1"/>
      <name val="Calibri"/>
      <family val="2"/>
      <charset val="204"/>
    </font>
    <font>
      <i/>
      <sz val="10"/>
      <name val="Arial"/>
      <family val="2"/>
      <charset val="204"/>
    </font>
    <font>
      <b/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i/>
      <sz val="10"/>
      <color theme="1"/>
      <name val="Arial"/>
      <family val="2"/>
      <charset val="204"/>
    </font>
    <font>
      <sz val="8"/>
      <name val="Calibri"/>
      <family val="2"/>
      <scheme val="minor"/>
    </font>
    <font>
      <b/>
      <sz val="10"/>
      <color theme="0"/>
      <name val="Arial"/>
      <family val="2"/>
      <charset val="204"/>
    </font>
    <font>
      <b/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32">
    <xf numFmtId="0" fontId="0" fillId="0" borderId="0" xfId="0"/>
    <xf numFmtId="0" fontId="0" fillId="0" borderId="0" xfId="1" applyFont="1" applyAlignment="1">
      <alignment horizontal="center" vertical="center" wrapText="1"/>
    </xf>
    <xf numFmtId="0" fontId="0" fillId="0" borderId="0" xfId="1" applyFont="1" applyAlignment="1">
      <alignment horizontal="center"/>
    </xf>
    <xf numFmtId="0" fontId="0" fillId="0" borderId="0" xfId="1" applyFont="1"/>
    <xf numFmtId="0" fontId="1" fillId="0" borderId="0" xfId="1" applyFont="1" applyAlignment="1">
      <alignment horizontal="left"/>
    </xf>
    <xf numFmtId="0" fontId="2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7" fillId="0" borderId="1" xfId="1" applyFont="1" applyBorder="1" applyAlignment="1">
      <alignment horizontal="center"/>
    </xf>
    <xf numFmtId="16" fontId="8" fillId="0" borderId="1" xfId="1" applyNumberFormat="1" applyFont="1" applyBorder="1" applyAlignment="1">
      <alignment horizontal="center"/>
    </xf>
    <xf numFmtId="0" fontId="8" fillId="0" borderId="1" xfId="1" applyFont="1" applyBorder="1" applyAlignment="1">
      <alignment horizontal="left" wrapText="1"/>
    </xf>
    <xf numFmtId="0" fontId="8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horizontal="left"/>
    </xf>
    <xf numFmtId="0" fontId="9" fillId="0" borderId="1" xfId="1" applyFont="1" applyBorder="1" applyAlignment="1">
      <alignment vertical="center"/>
    </xf>
    <xf numFmtId="0" fontId="9" fillId="0" borderId="1" xfId="1" applyFont="1" applyBorder="1" applyAlignment="1">
      <alignment horizontal="center" vertical="center"/>
    </xf>
    <xf numFmtId="2" fontId="8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vertical="center" wrapText="1"/>
    </xf>
    <xf numFmtId="0" fontId="8" fillId="0" borderId="1" xfId="1" applyFont="1" applyBorder="1" applyAlignment="1">
      <alignment vertical="center" wrapText="1"/>
    </xf>
    <xf numFmtId="0" fontId="8" fillId="2" borderId="1" xfId="1" applyFont="1" applyFill="1" applyBorder="1" applyAlignment="1">
      <alignment horizontal="center"/>
    </xf>
    <xf numFmtId="4" fontId="8" fillId="2" borderId="1" xfId="1" applyNumberFormat="1" applyFont="1" applyFill="1" applyBorder="1" applyAlignment="1">
      <alignment horizontal="center"/>
    </xf>
    <xf numFmtId="0" fontId="7" fillId="0" borderId="1" xfId="1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8" fillId="0" borderId="1" xfId="1" applyFont="1" applyBorder="1"/>
    <xf numFmtId="0" fontId="8" fillId="2" borderId="1" xfId="1" applyFont="1" applyFill="1" applyBorder="1"/>
    <xf numFmtId="0" fontId="8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horizontal="center"/>
    </xf>
    <xf numFmtId="4" fontId="7" fillId="0" borderId="1" xfId="1" applyNumberFormat="1" applyFont="1" applyBorder="1" applyAlignment="1">
      <alignment horizontal="center" vertical="center"/>
    </xf>
    <xf numFmtId="4" fontId="8" fillId="0" borderId="1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4" fontId="9" fillId="0" borderId="1" xfId="1" applyNumberFormat="1" applyFont="1" applyBorder="1" applyAlignment="1">
      <alignment horizontal="center" vertical="center"/>
    </xf>
    <xf numFmtId="0" fontId="15" fillId="0" borderId="0" xfId="1" applyFont="1" applyAlignment="1">
      <alignment vertical="center"/>
    </xf>
    <xf numFmtId="164" fontId="9" fillId="0" borderId="1" xfId="1" applyNumberFormat="1" applyFont="1" applyBorder="1" applyAlignment="1">
      <alignment horizontal="center" vertical="center"/>
    </xf>
    <xf numFmtId="4" fontId="2" fillId="0" borderId="1" xfId="1" applyNumberFormat="1" applyFont="1" applyBorder="1" applyAlignment="1">
      <alignment horizontal="center" vertical="center"/>
    </xf>
    <xf numFmtId="4" fontId="15" fillId="0" borderId="1" xfId="1" applyNumberFormat="1" applyFont="1" applyBorder="1" applyAlignment="1">
      <alignment horizontal="center" vertical="center"/>
    </xf>
    <xf numFmtId="164" fontId="15" fillId="0" borderId="1" xfId="1" applyNumberFormat="1" applyFont="1" applyBorder="1" applyAlignment="1">
      <alignment horizontal="center" vertical="center"/>
    </xf>
    <xf numFmtId="0" fontId="7" fillId="4" borderId="1" xfId="1" applyFont="1" applyFill="1" applyBorder="1" applyAlignment="1">
      <alignment horizontal="center"/>
    </xf>
    <xf numFmtId="0" fontId="9" fillId="4" borderId="1" xfId="1" applyFont="1" applyFill="1" applyBorder="1" applyAlignment="1">
      <alignment horizontal="center" vertical="center"/>
    </xf>
    <xf numFmtId="0" fontId="9" fillId="4" borderId="1" xfId="1" applyFont="1" applyFill="1" applyBorder="1" applyAlignment="1">
      <alignment vertical="center"/>
    </xf>
    <xf numFmtId="2" fontId="7" fillId="0" borderId="1" xfId="1" applyNumberFormat="1" applyFont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vertical="center"/>
    </xf>
    <xf numFmtId="166" fontId="7" fillId="0" borderId="1" xfId="1" applyNumberFormat="1" applyFont="1" applyBorder="1" applyAlignment="1">
      <alignment horizontal="center" vertical="center"/>
    </xf>
    <xf numFmtId="4" fontId="7" fillId="2" borderId="1" xfId="1" applyNumberFormat="1" applyFont="1" applyFill="1" applyBorder="1" applyAlignment="1">
      <alignment horizontal="center" vertical="center"/>
    </xf>
    <xf numFmtId="4" fontId="8" fillId="2" borderId="1" xfId="1" applyNumberFormat="1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4" fontId="16" fillId="0" borderId="1" xfId="0" applyNumberFormat="1" applyFont="1" applyBorder="1" applyAlignment="1">
      <alignment horizontal="center" vertical="center"/>
    </xf>
    <xf numFmtId="0" fontId="9" fillId="0" borderId="4" xfId="1" applyFont="1" applyBorder="1" applyAlignment="1">
      <alignment horizontal="left" wrapText="1"/>
    </xf>
    <xf numFmtId="0" fontId="8" fillId="2" borderId="4" xfId="1" applyFont="1" applyFill="1" applyBorder="1" applyAlignment="1">
      <alignment horizontal="left" wrapText="1"/>
    </xf>
    <xf numFmtId="0" fontId="7" fillId="0" borderId="0" xfId="1" applyFont="1"/>
    <xf numFmtId="0" fontId="7" fillId="4" borderId="1" xfId="0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4" fontId="7" fillId="0" borderId="1" xfId="1" applyNumberFormat="1" applyFont="1" applyBorder="1" applyAlignment="1">
      <alignment horizontal="center"/>
    </xf>
    <xf numFmtId="4" fontId="17" fillId="0" borderId="1" xfId="1" applyNumberFormat="1" applyFont="1" applyBorder="1" applyAlignment="1">
      <alignment horizontal="center" vertical="center"/>
    </xf>
    <xf numFmtId="4" fontId="9" fillId="2" borderId="1" xfId="1" applyNumberFormat="1" applyFont="1" applyFill="1" applyBorder="1" applyAlignment="1">
      <alignment horizontal="center" vertical="center"/>
    </xf>
    <xf numFmtId="0" fontId="8" fillId="0" borderId="0" xfId="1" applyFont="1"/>
    <xf numFmtId="0" fontId="9" fillId="0" borderId="0" xfId="1" applyFont="1"/>
    <xf numFmtId="164" fontId="9" fillId="2" borderId="1" xfId="1" applyNumberFormat="1" applyFont="1" applyFill="1" applyBorder="1" applyAlignment="1">
      <alignment horizontal="center" vertical="center"/>
    </xf>
    <xf numFmtId="167" fontId="9" fillId="2" borderId="1" xfId="1" applyNumberFormat="1" applyFont="1" applyFill="1" applyBorder="1" applyAlignment="1">
      <alignment horizontal="center" vertical="center"/>
    </xf>
    <xf numFmtId="164" fontId="8" fillId="2" borderId="1" xfId="1" applyNumberFormat="1" applyFont="1" applyFill="1" applyBorder="1" applyAlignment="1">
      <alignment horizontal="center" vertical="center"/>
    </xf>
    <xf numFmtId="16" fontId="8" fillId="4" borderId="1" xfId="1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/>
    </xf>
    <xf numFmtId="0" fontId="9" fillId="4" borderId="1" xfId="1" applyFont="1" applyFill="1" applyBorder="1" applyAlignment="1">
      <alignment horizontal="center"/>
    </xf>
    <xf numFmtId="0" fontId="9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/>
    </xf>
    <xf numFmtId="0" fontId="8" fillId="0" borderId="4" xfId="1" applyFont="1" applyBorder="1" applyAlignment="1">
      <alignment horizontal="left"/>
    </xf>
    <xf numFmtId="0" fontId="8" fillId="0" borderId="0" xfId="1" applyFont="1" applyAlignment="1">
      <alignment horizontal="left"/>
    </xf>
    <xf numFmtId="0" fontId="7" fillId="0" borderId="1" xfId="1" applyFont="1" applyBorder="1"/>
    <xf numFmtId="4" fontId="9" fillId="2" borderId="1" xfId="0" applyNumberFormat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left" wrapText="1"/>
    </xf>
    <xf numFmtId="0" fontId="18" fillId="0" borderId="0" xfId="1" applyFont="1" applyAlignment="1">
      <alignment horizontal="left"/>
    </xf>
    <xf numFmtId="0" fontId="8" fillId="5" borderId="1" xfId="1" applyFont="1" applyFill="1" applyBorder="1" applyAlignment="1">
      <alignment horizontal="center"/>
    </xf>
    <xf numFmtId="0" fontId="8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/>
    </xf>
    <xf numFmtId="165" fontId="8" fillId="5" borderId="1" xfId="0" applyNumberFormat="1" applyFont="1" applyFill="1" applyBorder="1" applyAlignment="1">
      <alignment horizontal="center" vertical="center"/>
    </xf>
    <xf numFmtId="4" fontId="8" fillId="5" borderId="1" xfId="1" applyNumberFormat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/>
    </xf>
    <xf numFmtId="0" fontId="9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65" fontId="9" fillId="5" borderId="1" xfId="0" applyNumberFormat="1" applyFont="1" applyFill="1" applyBorder="1" applyAlignment="1">
      <alignment horizontal="center" vertical="center"/>
    </xf>
    <xf numFmtId="4" fontId="7" fillId="5" borderId="1" xfId="1" applyNumberFormat="1" applyFont="1" applyFill="1" applyBorder="1" applyAlignment="1">
      <alignment horizontal="center" vertical="center"/>
    </xf>
    <xf numFmtId="164" fontId="8" fillId="5" borderId="1" xfId="1" applyNumberFormat="1" applyFont="1" applyFill="1" applyBorder="1" applyAlignment="1">
      <alignment horizontal="center" vertical="center"/>
    </xf>
    <xf numFmtId="164" fontId="7" fillId="5" borderId="1" xfId="1" applyNumberFormat="1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/>
    </xf>
    <xf numFmtId="164" fontId="9" fillId="5" borderId="1" xfId="1" applyNumberFormat="1" applyFont="1" applyFill="1" applyBorder="1" applyAlignment="1">
      <alignment horizontal="center" vertical="center"/>
    </xf>
    <xf numFmtId="0" fontId="8" fillId="5" borderId="1" xfId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/>
    </xf>
    <xf numFmtId="4" fontId="7" fillId="5" borderId="1" xfId="0" applyNumberFormat="1" applyFont="1" applyFill="1" applyBorder="1" applyAlignment="1">
      <alignment horizontal="center" vertical="center"/>
    </xf>
    <xf numFmtId="0" fontId="12" fillId="5" borderId="1" xfId="0" applyFont="1" applyFill="1" applyBorder="1"/>
    <xf numFmtId="4" fontId="8" fillId="5" borderId="1" xfId="0" applyNumberFormat="1" applyFont="1" applyFill="1" applyBorder="1" applyAlignment="1">
      <alignment horizontal="center" vertical="center"/>
    </xf>
    <xf numFmtId="0" fontId="13" fillId="5" borderId="1" xfId="0" applyFont="1" applyFill="1" applyBorder="1"/>
    <xf numFmtId="0" fontId="13" fillId="5" borderId="1" xfId="0" applyFont="1" applyFill="1" applyBorder="1" applyAlignment="1">
      <alignment wrapText="1"/>
    </xf>
    <xf numFmtId="4" fontId="7" fillId="5" borderId="1" xfId="1" applyNumberFormat="1" applyFont="1" applyFill="1" applyBorder="1" applyAlignment="1">
      <alignment horizontal="center"/>
    </xf>
    <xf numFmtId="0" fontId="13" fillId="5" borderId="1" xfId="0" applyFont="1" applyFill="1" applyBorder="1" applyAlignment="1">
      <alignment vertical="center" wrapText="1"/>
    </xf>
    <xf numFmtId="0" fontId="7" fillId="5" borderId="1" xfId="1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vertical="center" wrapText="1"/>
    </xf>
    <xf numFmtId="0" fontId="9" fillId="5" borderId="1" xfId="1" applyFont="1" applyFill="1" applyBorder="1" applyAlignment="1">
      <alignment horizontal="center" vertical="center"/>
    </xf>
    <xf numFmtId="4" fontId="9" fillId="5" borderId="1" xfId="1" applyNumberFormat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/>
    </xf>
    <xf numFmtId="167" fontId="7" fillId="2" borderId="1" xfId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1" applyFont="1" applyFill="1" applyBorder="1" applyAlignment="1">
      <alignment vertical="center"/>
    </xf>
    <xf numFmtId="0" fontId="7" fillId="6" borderId="1" xfId="1" applyFont="1" applyFill="1" applyBorder="1" applyAlignment="1">
      <alignment horizontal="center"/>
    </xf>
    <xf numFmtId="0" fontId="9" fillId="6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/>
    </xf>
    <xf numFmtId="4" fontId="9" fillId="6" borderId="1" xfId="1" applyNumberFormat="1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vertical="center" wrapText="1"/>
    </xf>
    <xf numFmtId="0" fontId="8" fillId="3" borderId="1" xfId="1" applyFont="1" applyFill="1" applyBorder="1" applyAlignment="1">
      <alignment vertical="center"/>
    </xf>
    <xf numFmtId="16" fontId="8" fillId="2" borderId="1" xfId="1" applyNumberFormat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/>
    </xf>
    <xf numFmtId="4" fontId="9" fillId="0" borderId="1" xfId="1" applyNumberFormat="1" applyFont="1" applyBorder="1" applyAlignment="1">
      <alignment horizontal="center"/>
    </xf>
    <xf numFmtId="0" fontId="8" fillId="0" borderId="3" xfId="1" applyFont="1" applyBorder="1" applyAlignment="1">
      <alignment vertical="center"/>
    </xf>
    <xf numFmtId="0" fontId="7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vertical="center" wrapText="1"/>
    </xf>
    <xf numFmtId="164" fontId="10" fillId="2" borderId="1" xfId="1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vertical="center"/>
    </xf>
    <xf numFmtId="0" fontId="8" fillId="0" borderId="1" xfId="1" applyFont="1" applyFill="1" applyBorder="1" applyAlignment="1">
      <alignment horizontal="center"/>
    </xf>
    <xf numFmtId="0" fontId="8" fillId="0" borderId="1" xfId="1" applyFont="1" applyFill="1" applyBorder="1" applyAlignment="1">
      <alignment horizontal="left" wrapText="1"/>
    </xf>
    <xf numFmtId="4" fontId="7" fillId="0" borderId="1" xfId="1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/>
    </xf>
    <xf numFmtId="0" fontId="8" fillId="0" borderId="1" xfId="1" applyFont="1" applyFill="1" applyBorder="1"/>
    <xf numFmtId="0" fontId="8" fillId="0" borderId="1" xfId="1" applyFont="1" applyFill="1" applyBorder="1" applyAlignment="1">
      <alignment horizontal="left"/>
    </xf>
    <xf numFmtId="16" fontId="8" fillId="0" borderId="1" xfId="1" applyNumberFormat="1" applyFont="1" applyFill="1" applyBorder="1" applyAlignment="1">
      <alignment horizontal="center"/>
    </xf>
    <xf numFmtId="164" fontId="10" fillId="0" borderId="1" xfId="1" applyNumberFormat="1" applyFont="1" applyBorder="1" applyAlignment="1">
      <alignment horizontal="center" vertical="center"/>
    </xf>
    <xf numFmtId="2" fontId="7" fillId="2" borderId="1" xfId="1" applyNumberFormat="1" applyFont="1" applyFill="1" applyBorder="1" applyAlignment="1">
      <alignment horizontal="center" vertical="center"/>
    </xf>
    <xf numFmtId="4" fontId="10" fillId="2" borderId="1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21" fillId="2" borderId="0" xfId="1" applyFont="1" applyFill="1"/>
    <xf numFmtId="0" fontId="9" fillId="0" borderId="3" xfId="1" applyFont="1" applyBorder="1" applyAlignment="1">
      <alignment vertical="center"/>
    </xf>
    <xf numFmtId="0" fontId="9" fillId="2" borderId="1" xfId="1" applyFont="1" applyFill="1" applyBorder="1" applyAlignment="1">
      <alignment horizontal="center" vertical="center"/>
    </xf>
    <xf numFmtId="0" fontId="16" fillId="0" borderId="0" xfId="1" applyFont="1"/>
    <xf numFmtId="0" fontId="8" fillId="2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left"/>
    </xf>
    <xf numFmtId="0" fontId="7" fillId="0" borderId="1" xfId="1" applyFont="1" applyBorder="1" applyAlignment="1">
      <alignment vertical="center"/>
    </xf>
    <xf numFmtId="0" fontId="7" fillId="0" borderId="1" xfId="1" applyFont="1" applyBorder="1" applyAlignment="1">
      <alignment horizontal="center" vertical="center"/>
    </xf>
    <xf numFmtId="4" fontId="7" fillId="2" borderId="1" xfId="1" applyNumberFormat="1" applyFont="1" applyFill="1" applyBorder="1" applyAlignment="1">
      <alignment horizontal="center" vertical="center"/>
    </xf>
    <xf numFmtId="0" fontId="7" fillId="0" borderId="1" xfId="1" applyFont="1" applyBorder="1" applyAlignment="1">
      <alignment vertical="center" wrapText="1"/>
    </xf>
    <xf numFmtId="0" fontId="10" fillId="0" borderId="1" xfId="1" applyFont="1" applyBorder="1" applyAlignment="1">
      <alignment vertical="center"/>
    </xf>
    <xf numFmtId="4" fontId="7" fillId="0" borderId="1" xfId="1" applyNumberFormat="1" applyFont="1" applyBorder="1" applyAlignment="1">
      <alignment horizontal="center" vertical="center"/>
    </xf>
    <xf numFmtId="0" fontId="7" fillId="2" borderId="1" xfId="1" applyFont="1" applyFill="1" applyBorder="1" applyAlignment="1">
      <alignment vertical="center"/>
    </xf>
    <xf numFmtId="0" fontId="9" fillId="0" borderId="1" xfId="1" applyFont="1" applyBorder="1" applyAlignment="1">
      <alignment vertical="center"/>
    </xf>
    <xf numFmtId="0" fontId="9" fillId="0" borderId="1" xfId="1" applyFont="1" applyBorder="1" applyAlignment="1">
      <alignment horizontal="center" vertical="center"/>
    </xf>
    <xf numFmtId="4" fontId="9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4" fontId="8" fillId="0" borderId="1" xfId="1" applyNumberFormat="1" applyFont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vertical="center"/>
    </xf>
    <xf numFmtId="2" fontId="7" fillId="0" borderId="1" xfId="1" applyNumberFormat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0" fontId="16" fillId="0" borderId="1" xfId="1" applyFont="1" applyBorder="1" applyAlignment="1">
      <alignment horizontal="center"/>
    </xf>
    <xf numFmtId="0" fontId="22" fillId="0" borderId="1" xfId="1" applyFont="1" applyBorder="1" applyAlignment="1">
      <alignment horizontal="center"/>
    </xf>
    <xf numFmtId="0" fontId="16" fillId="2" borderId="1" xfId="1" applyFon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7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left"/>
    </xf>
    <xf numFmtId="165" fontId="10" fillId="0" borderId="1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0" fontId="8" fillId="3" borderId="1" xfId="1" applyFont="1" applyFill="1" applyBorder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8" fillId="3" borderId="2" xfId="1" applyFont="1" applyFill="1" applyBorder="1" applyAlignment="1">
      <alignment horizontal="left"/>
    </xf>
    <xf numFmtId="0" fontId="8" fillId="3" borderId="3" xfId="1" applyFont="1" applyFill="1" applyBorder="1" applyAlignment="1">
      <alignment horizontal="left"/>
    </xf>
    <xf numFmtId="0" fontId="8" fillId="3" borderId="2" xfId="1" applyFont="1" applyFill="1" applyBorder="1" applyAlignment="1">
      <alignment horizontal="left" vertical="center"/>
    </xf>
    <xf numFmtId="0" fontId="8" fillId="3" borderId="3" xfId="1" applyFont="1" applyFill="1" applyBorder="1" applyAlignment="1">
      <alignment horizontal="left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vertical="center"/>
    </xf>
    <xf numFmtId="4" fontId="7" fillId="0" borderId="1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9" fillId="0" borderId="1" xfId="1" applyFont="1" applyBorder="1" applyAlignment="1">
      <alignment vertical="center"/>
    </xf>
    <xf numFmtId="0" fontId="9" fillId="0" borderId="1" xfId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4" fontId="9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horizontal="center" vertical="center"/>
    </xf>
    <xf numFmtId="4" fontId="8" fillId="0" borderId="1" xfId="1" applyNumberFormat="1" applyFont="1" applyBorder="1" applyAlignment="1">
      <alignment horizontal="center" vertical="center"/>
    </xf>
    <xf numFmtId="2" fontId="7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vertical="center"/>
    </xf>
    <xf numFmtId="4" fontId="7" fillId="2" borderId="1" xfId="1" applyNumberFormat="1" applyFont="1" applyFill="1" applyBorder="1" applyAlignment="1">
      <alignment horizontal="center" vertical="center"/>
    </xf>
    <xf numFmtId="0" fontId="7" fillId="0" borderId="1" xfId="1" applyFont="1" applyBorder="1" applyAlignment="1">
      <alignment vertical="center" wrapText="1"/>
    </xf>
    <xf numFmtId="164" fontId="7" fillId="2" borderId="1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vertical="center"/>
    </xf>
    <xf numFmtId="0" fontId="8" fillId="5" borderId="1" xfId="1" applyFont="1" applyFill="1" applyBorder="1" applyAlignment="1">
      <alignment horizontal="left"/>
    </xf>
    <xf numFmtId="0" fontId="8" fillId="5" borderId="4" xfId="1" applyFont="1" applyFill="1" applyBorder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2">
    <cellStyle name="Normal" xfId="1" xr:uid="{00000000-0005-0000-0000-000000000000}"/>
    <cellStyle name="Обычный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2F0CF-FD89-45A6-AF76-BB7A87905BCF}">
  <sheetPr>
    <outlinePr summaryBelow="0" summaryRight="0"/>
  </sheetPr>
  <dimension ref="A1:F811"/>
  <sheetViews>
    <sheetView tabSelected="1" view="pageBreakPreview" zoomScale="90" zoomScaleNormal="85" zoomScaleSheetLayoutView="90" workbookViewId="0">
      <selection activeCell="D4" sqref="D4"/>
    </sheetView>
  </sheetViews>
  <sheetFormatPr defaultRowHeight="12.75" outlineLevelRow="5" x14ac:dyDescent="0.2"/>
  <cols>
    <col min="1" max="1" width="10" style="67" customWidth="1"/>
    <col min="2" max="2" width="94.42578125" style="67" customWidth="1"/>
    <col min="3" max="3" width="11.28515625" style="67" customWidth="1"/>
    <col min="4" max="4" width="21.5703125" style="67" customWidth="1"/>
    <col min="5" max="5" width="30.42578125" style="67" customWidth="1"/>
    <col min="6" max="6" width="10.5703125" style="67" bestFit="1" customWidth="1"/>
    <col min="7" max="16384" width="9.140625" style="67"/>
  </cols>
  <sheetData>
    <row r="1" spans="1:4" s="188" customFormat="1" x14ac:dyDescent="0.25">
      <c r="A1" s="203" t="s">
        <v>171</v>
      </c>
      <c r="B1" s="203"/>
      <c r="C1" s="203"/>
    </row>
    <row r="2" spans="1:4" s="188" customFormat="1" ht="33.75" customHeight="1" x14ac:dyDescent="0.25">
      <c r="A2" s="203" t="s">
        <v>516</v>
      </c>
      <c r="B2" s="203"/>
      <c r="C2" s="203"/>
    </row>
    <row r="3" spans="1:4" s="189" customFormat="1" ht="7.5" customHeight="1" x14ac:dyDescent="0.25">
      <c r="A3" s="203"/>
      <c r="B3" s="203"/>
      <c r="C3" s="203"/>
    </row>
    <row r="4" spans="1:4" s="190" customFormat="1" ht="28.5" customHeight="1" x14ac:dyDescent="0.25">
      <c r="A4" s="203" t="s">
        <v>173</v>
      </c>
      <c r="B4" s="203"/>
      <c r="C4" s="203"/>
    </row>
    <row r="5" spans="1:4" s="188" customFormat="1" x14ac:dyDescent="0.25">
      <c r="A5" s="191"/>
      <c r="B5" s="192" t="s">
        <v>174</v>
      </c>
      <c r="C5" s="193"/>
    </row>
    <row r="6" spans="1:4" s="188" customFormat="1" ht="34.5" customHeight="1" x14ac:dyDescent="0.25">
      <c r="A6" s="191" t="s">
        <v>3</v>
      </c>
      <c r="B6" s="204" t="s">
        <v>175</v>
      </c>
      <c r="C6" s="204"/>
    </row>
    <row r="7" spans="1:4" s="188" customFormat="1" ht="32.25" customHeight="1" x14ac:dyDescent="0.25">
      <c r="A7" s="191" t="s">
        <v>5</v>
      </c>
      <c r="B7" s="204" t="s">
        <v>176</v>
      </c>
      <c r="C7" s="204"/>
    </row>
    <row r="8" spans="1:4" s="188" customFormat="1" ht="20.25" customHeight="1" x14ac:dyDescent="0.25">
      <c r="A8" s="191" t="s">
        <v>6</v>
      </c>
      <c r="B8" s="205" t="s">
        <v>177</v>
      </c>
      <c r="C8" s="205"/>
    </row>
    <row r="9" spans="1:4" s="188" customFormat="1" ht="28.5" customHeight="1" x14ac:dyDescent="0.25">
      <c r="A9" s="191" t="s">
        <v>7</v>
      </c>
      <c r="B9" s="204" t="s">
        <v>501</v>
      </c>
      <c r="C9" s="204"/>
    </row>
    <row r="10" spans="1:4" s="188" customFormat="1" ht="28.5" customHeight="1" x14ac:dyDescent="0.25">
      <c r="A10" s="191" t="s">
        <v>8</v>
      </c>
      <c r="B10" s="204" t="s">
        <v>502</v>
      </c>
      <c r="C10" s="204"/>
    </row>
    <row r="11" spans="1:4" s="188" customFormat="1" ht="23.25" customHeight="1" x14ac:dyDescent="0.25">
      <c r="A11" s="191" t="s">
        <v>500</v>
      </c>
      <c r="B11" s="194" t="s">
        <v>179</v>
      </c>
      <c r="C11" s="194"/>
    </row>
    <row r="12" spans="1:4" ht="24.75" customHeight="1" x14ac:dyDescent="0.2"/>
    <row r="13" spans="1:4" s="195" customFormat="1" ht="47.25" customHeight="1" x14ac:dyDescent="0.25">
      <c r="A13" s="41" t="s">
        <v>0</v>
      </c>
      <c r="B13" s="41" t="s">
        <v>1</v>
      </c>
      <c r="C13" s="41" t="s">
        <v>2</v>
      </c>
      <c r="D13" s="163" t="s">
        <v>503</v>
      </c>
    </row>
    <row r="14" spans="1:4" s="196" customFormat="1" x14ac:dyDescent="0.2">
      <c r="A14" s="13">
        <v>1</v>
      </c>
      <c r="B14" s="13">
        <v>2</v>
      </c>
      <c r="C14" s="13">
        <v>3</v>
      </c>
      <c r="D14" s="13">
        <v>4</v>
      </c>
    </row>
    <row r="15" spans="1:4" s="88" customFormat="1" x14ac:dyDescent="0.2">
      <c r="A15" s="206" t="s">
        <v>127</v>
      </c>
      <c r="B15" s="207"/>
      <c r="C15" s="39"/>
      <c r="D15" s="21"/>
    </row>
    <row r="16" spans="1:4" s="88" customFormat="1" ht="28.5" customHeight="1" outlineLevel="1" x14ac:dyDescent="0.2">
      <c r="A16" s="14" t="s">
        <v>180</v>
      </c>
      <c r="B16" s="15" t="s">
        <v>182</v>
      </c>
      <c r="C16" s="16" t="s">
        <v>11</v>
      </c>
      <c r="D16" s="43">
        <f>D17/0.1</f>
        <v>4430</v>
      </c>
    </row>
    <row r="17" spans="1:4" s="197" customFormat="1" outlineLevel="2" x14ac:dyDescent="0.25">
      <c r="A17" s="169"/>
      <c r="B17" s="168" t="s">
        <v>183</v>
      </c>
      <c r="C17" s="169" t="s">
        <v>4</v>
      </c>
      <c r="D17" s="173">
        <v>443</v>
      </c>
    </row>
    <row r="18" spans="1:4" s="198" customFormat="1" outlineLevel="2" x14ac:dyDescent="0.25">
      <c r="A18" s="176"/>
      <c r="B18" s="175" t="s">
        <v>313</v>
      </c>
      <c r="C18" s="176" t="s">
        <v>4</v>
      </c>
      <c r="D18" s="177">
        <v>451.86</v>
      </c>
    </row>
    <row r="19" spans="1:4" s="197" customFormat="1" outlineLevel="2" x14ac:dyDescent="0.25">
      <c r="A19" s="169"/>
      <c r="B19" s="168" t="s">
        <v>10</v>
      </c>
      <c r="C19" s="169" t="s">
        <v>11</v>
      </c>
      <c r="D19" s="173">
        <v>4963</v>
      </c>
    </row>
    <row r="20" spans="1:4" s="198" customFormat="1" outlineLevel="2" x14ac:dyDescent="0.25">
      <c r="A20" s="176"/>
      <c r="B20" s="175" t="s">
        <v>325</v>
      </c>
      <c r="C20" s="176" t="s">
        <v>9</v>
      </c>
      <c r="D20" s="183">
        <v>0.79408000000000001</v>
      </c>
    </row>
    <row r="21" spans="1:4" s="198" customFormat="1" outlineLevel="2" x14ac:dyDescent="0.25">
      <c r="A21" s="176"/>
      <c r="B21" s="175" t="s">
        <v>317</v>
      </c>
      <c r="C21" s="176" t="s">
        <v>153</v>
      </c>
      <c r="D21" s="177">
        <v>20844.599999999999</v>
      </c>
    </row>
    <row r="22" spans="1:4" s="198" customFormat="1" outlineLevel="2" x14ac:dyDescent="0.25">
      <c r="A22" s="176"/>
      <c r="B22" s="175" t="s">
        <v>318</v>
      </c>
      <c r="C22" s="176" t="s">
        <v>4</v>
      </c>
      <c r="D22" s="177">
        <v>124.075</v>
      </c>
    </row>
    <row r="23" spans="1:4" s="198" customFormat="1" outlineLevel="2" x14ac:dyDescent="0.25">
      <c r="A23" s="176"/>
      <c r="B23" s="175" t="s">
        <v>314</v>
      </c>
      <c r="C23" s="176" t="s">
        <v>11</v>
      </c>
      <c r="D23" s="177">
        <v>10918.6</v>
      </c>
    </row>
    <row r="24" spans="1:4" s="197" customFormat="1" outlineLevel="2" x14ac:dyDescent="0.25">
      <c r="A24" s="169"/>
      <c r="B24" s="168" t="s">
        <v>12</v>
      </c>
      <c r="C24" s="169" t="s">
        <v>11</v>
      </c>
      <c r="D24" s="173">
        <v>4429.7</v>
      </c>
    </row>
    <row r="25" spans="1:4" s="198" customFormat="1" outlineLevel="2" x14ac:dyDescent="0.25">
      <c r="A25" s="176"/>
      <c r="B25" s="175" t="s">
        <v>315</v>
      </c>
      <c r="C25" s="176" t="s">
        <v>4</v>
      </c>
      <c r="D25" s="177">
        <v>115.88</v>
      </c>
    </row>
    <row r="26" spans="1:4" s="198" customFormat="1" outlineLevel="2" x14ac:dyDescent="0.25">
      <c r="A26" s="176"/>
      <c r="B26" s="175" t="s">
        <v>316</v>
      </c>
      <c r="C26" s="176" t="s">
        <v>9</v>
      </c>
      <c r="D26" s="183">
        <v>49.652999999999999</v>
      </c>
    </row>
    <row r="27" spans="1:4" s="197" customFormat="1" outlineLevel="1" x14ac:dyDescent="0.25">
      <c r="A27" s="178" t="s">
        <v>181</v>
      </c>
      <c r="B27" s="181" t="s">
        <v>184</v>
      </c>
      <c r="C27" s="178" t="s">
        <v>4</v>
      </c>
      <c r="D27" s="179">
        <v>2562.6</v>
      </c>
    </row>
    <row r="28" spans="1:4" s="197" customFormat="1" outlineLevel="2" x14ac:dyDescent="0.25">
      <c r="A28" s="169"/>
      <c r="B28" s="168" t="s">
        <v>13</v>
      </c>
      <c r="C28" s="169" t="s">
        <v>11</v>
      </c>
      <c r="D28" s="173">
        <v>92.25</v>
      </c>
    </row>
    <row r="29" spans="1:4" s="198" customFormat="1" outlineLevel="2" x14ac:dyDescent="0.25">
      <c r="A29" s="176"/>
      <c r="B29" s="175" t="s">
        <v>326</v>
      </c>
      <c r="C29" s="176" t="s">
        <v>11</v>
      </c>
      <c r="D29" s="177">
        <v>92.25</v>
      </c>
    </row>
    <row r="30" spans="1:4" s="197" customFormat="1" outlineLevel="2" x14ac:dyDescent="0.25">
      <c r="A30" s="169"/>
      <c r="B30" s="168" t="s">
        <v>312</v>
      </c>
      <c r="C30" s="169" t="s">
        <v>9</v>
      </c>
      <c r="D30" s="184">
        <f>D31+D32+D33+D34+D35+D36</f>
        <v>191.82999999999998</v>
      </c>
    </row>
    <row r="31" spans="1:4" s="198" customFormat="1" outlineLevel="2" x14ac:dyDescent="0.25">
      <c r="A31" s="176"/>
      <c r="B31" s="175" t="s">
        <v>106</v>
      </c>
      <c r="C31" s="176" t="s">
        <v>9</v>
      </c>
      <c r="D31" s="183">
        <v>0.23</v>
      </c>
    </row>
    <row r="32" spans="1:4" s="198" customFormat="1" outlineLevel="2" x14ac:dyDescent="0.25">
      <c r="A32" s="176"/>
      <c r="B32" s="175" t="s">
        <v>39</v>
      </c>
      <c r="C32" s="176" t="s">
        <v>9</v>
      </c>
      <c r="D32" s="183">
        <v>29.6</v>
      </c>
    </row>
    <row r="33" spans="1:4" s="198" customFormat="1" outlineLevel="2" x14ac:dyDescent="0.25">
      <c r="A33" s="176"/>
      <c r="B33" s="175" t="s">
        <v>52</v>
      </c>
      <c r="C33" s="176" t="s">
        <v>9</v>
      </c>
      <c r="D33" s="183">
        <v>61.8</v>
      </c>
    </row>
    <row r="34" spans="1:4" s="198" customFormat="1" outlineLevel="2" x14ac:dyDescent="0.25">
      <c r="A34" s="176"/>
      <c r="B34" s="175" t="s">
        <v>40</v>
      </c>
      <c r="C34" s="176" t="s">
        <v>9</v>
      </c>
      <c r="D34" s="183">
        <v>85.6</v>
      </c>
    </row>
    <row r="35" spans="1:4" s="198" customFormat="1" outlineLevel="2" x14ac:dyDescent="0.25">
      <c r="A35" s="176"/>
      <c r="B35" s="175" t="s">
        <v>41</v>
      </c>
      <c r="C35" s="176" t="s">
        <v>9</v>
      </c>
      <c r="D35" s="183">
        <v>6.7</v>
      </c>
    </row>
    <row r="36" spans="1:4" s="198" customFormat="1" outlineLevel="2" x14ac:dyDescent="0.25">
      <c r="A36" s="176"/>
      <c r="B36" s="175" t="s">
        <v>64</v>
      </c>
      <c r="C36" s="176" t="s">
        <v>9</v>
      </c>
      <c r="D36" s="183">
        <v>7.9</v>
      </c>
    </row>
    <row r="37" spans="1:4" s="197" customFormat="1" outlineLevel="2" x14ac:dyDescent="0.25">
      <c r="A37" s="169"/>
      <c r="B37" s="168" t="s">
        <v>302</v>
      </c>
      <c r="C37" s="169" t="s">
        <v>4</v>
      </c>
      <c r="D37" s="173">
        <v>2562.6</v>
      </c>
    </row>
    <row r="38" spans="1:4" s="198" customFormat="1" outlineLevel="2" x14ac:dyDescent="0.25">
      <c r="A38" s="176"/>
      <c r="B38" s="175" t="s">
        <v>319</v>
      </c>
      <c r="C38" s="176" t="s">
        <v>4</v>
      </c>
      <c r="D38" s="177">
        <v>2601.04</v>
      </c>
    </row>
    <row r="39" spans="1:4" s="88" customFormat="1" x14ac:dyDescent="0.2">
      <c r="A39" s="206" t="s">
        <v>186</v>
      </c>
      <c r="B39" s="207"/>
      <c r="C39" s="39"/>
      <c r="D39" s="21"/>
    </row>
    <row r="40" spans="1:4" s="88" customFormat="1" outlineLevel="1" x14ac:dyDescent="0.2">
      <c r="A40" s="16" t="s">
        <v>187</v>
      </c>
      <c r="B40" s="87" t="s">
        <v>185</v>
      </c>
      <c r="C40" s="16" t="s">
        <v>129</v>
      </c>
      <c r="D40" s="43">
        <f>D41</f>
        <v>9.26</v>
      </c>
    </row>
    <row r="41" spans="1:4" s="88" customFormat="1" outlineLevel="2" x14ac:dyDescent="0.2">
      <c r="A41" s="13"/>
      <c r="B41" s="175" t="s">
        <v>128</v>
      </c>
      <c r="C41" s="176" t="s">
        <v>129</v>
      </c>
      <c r="D41" s="177">
        <v>9.26</v>
      </c>
    </row>
    <row r="42" spans="1:4" s="88" customFormat="1" outlineLevel="2" x14ac:dyDescent="0.2">
      <c r="A42" s="13"/>
      <c r="B42" s="175" t="s">
        <v>130</v>
      </c>
      <c r="C42" s="176" t="s">
        <v>11</v>
      </c>
      <c r="D42" s="177">
        <v>32.58</v>
      </c>
    </row>
    <row r="43" spans="1:4" s="88" customFormat="1" outlineLevel="2" x14ac:dyDescent="0.2">
      <c r="A43" s="13"/>
      <c r="B43" s="175" t="s">
        <v>131</v>
      </c>
      <c r="C43" s="176" t="s">
        <v>11</v>
      </c>
      <c r="D43" s="177">
        <v>4.63</v>
      </c>
    </row>
    <row r="44" spans="1:4" s="88" customFormat="1" outlineLevel="2" x14ac:dyDescent="0.2">
      <c r="A44" s="13"/>
      <c r="B44" s="175" t="s">
        <v>132</v>
      </c>
      <c r="C44" s="176" t="s">
        <v>129</v>
      </c>
      <c r="D44" s="177">
        <v>11.26</v>
      </c>
    </row>
    <row r="45" spans="1:4" s="88" customFormat="1" outlineLevel="2" x14ac:dyDescent="0.2">
      <c r="A45" s="13"/>
      <c r="B45" s="175" t="s">
        <v>133</v>
      </c>
      <c r="C45" s="176" t="s">
        <v>129</v>
      </c>
      <c r="D45" s="177">
        <v>9.26</v>
      </c>
    </row>
    <row r="46" spans="1:4" s="88" customFormat="1" outlineLevel="2" x14ac:dyDescent="0.2">
      <c r="A46" s="13"/>
      <c r="B46" s="175" t="s">
        <v>134</v>
      </c>
      <c r="C46" s="176" t="s">
        <v>153</v>
      </c>
      <c r="D46" s="177">
        <v>10.62</v>
      </c>
    </row>
    <row r="47" spans="1:4" ht="15" customHeight="1" outlineLevel="1" x14ac:dyDescent="0.2">
      <c r="A47" s="27" t="s">
        <v>336</v>
      </c>
      <c r="B47" s="39" t="s">
        <v>154</v>
      </c>
      <c r="C47" s="16" t="s">
        <v>129</v>
      </c>
      <c r="D47" s="43">
        <f>D48</f>
        <v>16.8</v>
      </c>
    </row>
    <row r="48" spans="1:4" outlineLevel="2" x14ac:dyDescent="0.2">
      <c r="A48" s="13"/>
      <c r="B48" s="89" t="s">
        <v>154</v>
      </c>
      <c r="C48" s="13" t="s">
        <v>155</v>
      </c>
      <c r="D48" s="72">
        <v>16.8</v>
      </c>
    </row>
    <row r="49" spans="1:5" outlineLevel="2" x14ac:dyDescent="0.2">
      <c r="A49" s="13"/>
      <c r="B49" s="71" t="s">
        <v>128</v>
      </c>
      <c r="C49" s="32" t="s">
        <v>129</v>
      </c>
      <c r="D49" s="37">
        <f>D48*1.05</f>
        <v>17.64</v>
      </c>
    </row>
    <row r="50" spans="1:5" outlineLevel="2" x14ac:dyDescent="0.2">
      <c r="A50" s="13"/>
      <c r="B50" s="71" t="s">
        <v>156</v>
      </c>
      <c r="C50" s="176" t="s">
        <v>153</v>
      </c>
      <c r="D50" s="37">
        <v>13.1</v>
      </c>
    </row>
    <row r="51" spans="1:5" outlineLevel="2" x14ac:dyDescent="0.2">
      <c r="A51" s="13"/>
      <c r="B51" s="71" t="s">
        <v>157</v>
      </c>
      <c r="C51" s="32" t="s">
        <v>129</v>
      </c>
      <c r="D51" s="37">
        <f>1.05*D48</f>
        <v>17.64</v>
      </c>
    </row>
    <row r="52" spans="1:5" outlineLevel="2" x14ac:dyDescent="0.2">
      <c r="A52" s="13"/>
      <c r="B52" s="71" t="s">
        <v>158</v>
      </c>
      <c r="C52" s="32" t="s">
        <v>129</v>
      </c>
      <c r="D52" s="37">
        <f>1.05*D48</f>
        <v>17.64</v>
      </c>
    </row>
    <row r="53" spans="1:5" outlineLevel="2" x14ac:dyDescent="0.2">
      <c r="A53" s="13"/>
      <c r="B53" s="71" t="s">
        <v>159</v>
      </c>
      <c r="C53" s="32" t="s">
        <v>11</v>
      </c>
      <c r="D53" s="37">
        <f>D48*0.5</f>
        <v>8.4</v>
      </c>
    </row>
    <row r="54" spans="1:5" outlineLevel="2" x14ac:dyDescent="0.2">
      <c r="A54" s="13"/>
      <c r="B54" s="71" t="s">
        <v>160</v>
      </c>
      <c r="C54" s="32" t="s">
        <v>153</v>
      </c>
      <c r="D54" s="37">
        <f>0.15*D48</f>
        <v>2.52</v>
      </c>
    </row>
    <row r="55" spans="1:5" s="88" customFormat="1" x14ac:dyDescent="0.2">
      <c r="A55" s="202" t="s">
        <v>188</v>
      </c>
      <c r="B55" s="202"/>
      <c r="C55" s="39"/>
      <c r="D55" s="21"/>
    </row>
    <row r="56" spans="1:5" s="88" customFormat="1" outlineLevel="1" x14ac:dyDescent="0.2">
      <c r="A56" s="16" t="s">
        <v>189</v>
      </c>
      <c r="B56" s="15" t="s">
        <v>413</v>
      </c>
      <c r="C56" s="16" t="s">
        <v>360</v>
      </c>
      <c r="D56" s="43">
        <v>380</v>
      </c>
    </row>
    <row r="57" spans="1:5" s="88" customFormat="1" ht="38.25" customHeight="1" outlineLevel="2" x14ac:dyDescent="0.2">
      <c r="A57" s="13"/>
      <c r="B57" s="171" t="s">
        <v>416</v>
      </c>
      <c r="C57" s="176" t="s">
        <v>448</v>
      </c>
      <c r="D57" s="64" t="s">
        <v>449</v>
      </c>
    </row>
    <row r="58" spans="1:5" s="88" customFormat="1" ht="45" customHeight="1" outlineLevel="2" x14ac:dyDescent="0.2">
      <c r="A58" s="13"/>
      <c r="B58" s="171" t="s">
        <v>417</v>
      </c>
      <c r="C58" s="13" t="s">
        <v>135</v>
      </c>
      <c r="D58" s="136">
        <v>25</v>
      </c>
    </row>
    <row r="59" spans="1:5" s="88" customFormat="1" ht="34.5" customHeight="1" outlineLevel="2" x14ac:dyDescent="0.2">
      <c r="A59" s="13"/>
      <c r="B59" s="171" t="s">
        <v>418</v>
      </c>
      <c r="C59" s="176" t="s">
        <v>135</v>
      </c>
      <c r="D59" s="13">
        <v>1</v>
      </c>
    </row>
    <row r="60" spans="1:5" s="88" customFormat="1" x14ac:dyDescent="0.2">
      <c r="A60" s="202" t="s">
        <v>190</v>
      </c>
      <c r="B60" s="202"/>
      <c r="C60" s="39"/>
      <c r="D60" s="21"/>
    </row>
    <row r="61" spans="1:5" s="88" customFormat="1" ht="28.5" customHeight="1" outlineLevel="1" x14ac:dyDescent="0.2">
      <c r="A61" s="16" t="s">
        <v>191</v>
      </c>
      <c r="B61" s="15" t="s">
        <v>514</v>
      </c>
      <c r="C61" s="16" t="s">
        <v>11</v>
      </c>
      <c r="D61" s="43">
        <v>240.5</v>
      </c>
      <c r="E61" s="199"/>
    </row>
    <row r="62" spans="1:5" s="197" customFormat="1" outlineLevel="3" x14ac:dyDescent="0.25">
      <c r="A62" s="169"/>
      <c r="B62" s="168" t="s">
        <v>14</v>
      </c>
      <c r="C62" s="169" t="s">
        <v>4</v>
      </c>
      <c r="D62" s="177"/>
    </row>
    <row r="63" spans="1:5" s="197" customFormat="1" outlineLevel="3" x14ac:dyDescent="0.25">
      <c r="A63" s="169"/>
      <c r="B63" s="168" t="s">
        <v>322</v>
      </c>
      <c r="C63" s="169" t="s">
        <v>4</v>
      </c>
      <c r="D63" s="173">
        <f>D62*1.15</f>
        <v>0</v>
      </c>
    </row>
    <row r="64" spans="1:5" s="197" customFormat="1" outlineLevel="3" x14ac:dyDescent="0.25">
      <c r="A64" s="169"/>
      <c r="B64" s="168" t="s">
        <v>192</v>
      </c>
      <c r="C64" s="169" t="s">
        <v>4</v>
      </c>
      <c r="D64" s="173">
        <v>17.7</v>
      </c>
    </row>
    <row r="65" spans="1:4" s="197" customFormat="1" outlineLevel="3" x14ac:dyDescent="0.25">
      <c r="A65" s="169"/>
      <c r="B65" s="168" t="s">
        <v>323</v>
      </c>
      <c r="C65" s="169" t="s">
        <v>4</v>
      </c>
      <c r="D65" s="173">
        <f>D64*1.15</f>
        <v>20.354999999999997</v>
      </c>
    </row>
    <row r="66" spans="1:4" s="197" customFormat="1" outlineLevel="3" x14ac:dyDescent="0.25">
      <c r="A66" s="169"/>
      <c r="B66" s="168" t="s">
        <v>15</v>
      </c>
      <c r="C66" s="169" t="s">
        <v>4</v>
      </c>
      <c r="D66" s="173">
        <v>33.4</v>
      </c>
    </row>
    <row r="67" spans="1:4" s="197" customFormat="1" outlineLevel="3" x14ac:dyDescent="0.25">
      <c r="A67" s="169"/>
      <c r="B67" s="168" t="s">
        <v>324</v>
      </c>
      <c r="C67" s="169" t="s">
        <v>4</v>
      </c>
      <c r="D67" s="173">
        <f>D66*1.02</f>
        <v>34.067999999999998</v>
      </c>
    </row>
    <row r="68" spans="1:4" s="197" customFormat="1" ht="21" customHeight="1" outlineLevel="1" x14ac:dyDescent="0.25">
      <c r="A68" s="178" t="s">
        <v>194</v>
      </c>
      <c r="B68" s="181" t="s">
        <v>16</v>
      </c>
      <c r="C68" s="169" t="s">
        <v>11</v>
      </c>
      <c r="D68" s="179">
        <v>637.79999999999995</v>
      </c>
    </row>
    <row r="69" spans="1:4" s="198" customFormat="1" outlineLevel="2" x14ac:dyDescent="0.25">
      <c r="A69" s="176"/>
      <c r="B69" s="175" t="s">
        <v>325</v>
      </c>
      <c r="C69" s="176" t="s">
        <v>9</v>
      </c>
      <c r="D69" s="177">
        <v>0.10199999999999999</v>
      </c>
    </row>
    <row r="70" spans="1:4" s="198" customFormat="1" outlineLevel="2" x14ac:dyDescent="0.25">
      <c r="A70" s="176"/>
      <c r="B70" s="175" t="s">
        <v>317</v>
      </c>
      <c r="C70" s="176" t="s">
        <v>153</v>
      </c>
      <c r="D70" s="177">
        <v>2678.76</v>
      </c>
    </row>
    <row r="71" spans="1:4" s="198" customFormat="1" outlineLevel="2" x14ac:dyDescent="0.25">
      <c r="A71" s="176"/>
      <c r="B71" s="175" t="s">
        <v>318</v>
      </c>
      <c r="C71" s="176" t="s">
        <v>4</v>
      </c>
      <c r="D71" s="177">
        <v>15.945</v>
      </c>
    </row>
    <row r="72" spans="1:4" s="198" customFormat="1" outlineLevel="2" x14ac:dyDescent="0.25">
      <c r="A72" s="176"/>
      <c r="B72" s="175" t="s">
        <v>314</v>
      </c>
      <c r="C72" s="176" t="s">
        <v>11</v>
      </c>
      <c r="D72" s="177">
        <v>1403.16</v>
      </c>
    </row>
    <row r="73" spans="1:4" s="197" customFormat="1" outlineLevel="1" x14ac:dyDescent="0.25">
      <c r="A73" s="178" t="s">
        <v>196</v>
      </c>
      <c r="B73" s="181" t="s">
        <v>195</v>
      </c>
      <c r="C73" s="178" t="s">
        <v>4</v>
      </c>
      <c r="D73" s="179">
        <f>D79+D87</f>
        <v>232.3</v>
      </c>
    </row>
    <row r="74" spans="1:4" s="197" customFormat="1" outlineLevel="2" x14ac:dyDescent="0.25">
      <c r="A74" s="169"/>
      <c r="B74" s="168" t="s">
        <v>17</v>
      </c>
      <c r="C74" s="169" t="s">
        <v>11</v>
      </c>
      <c r="D74" s="173">
        <f>D75</f>
        <v>18.57</v>
      </c>
    </row>
    <row r="75" spans="1:4" s="198" customFormat="1" outlineLevel="2" x14ac:dyDescent="0.25">
      <c r="A75" s="176"/>
      <c r="B75" s="175" t="s">
        <v>326</v>
      </c>
      <c r="C75" s="176" t="s">
        <v>11</v>
      </c>
      <c r="D75" s="177">
        <v>18.57</v>
      </c>
    </row>
    <row r="76" spans="1:4" s="197" customFormat="1" outlineLevel="2" x14ac:dyDescent="0.25">
      <c r="A76" s="169"/>
      <c r="B76" s="168" t="s">
        <v>18</v>
      </c>
      <c r="C76" s="169" t="s">
        <v>9</v>
      </c>
      <c r="D76" s="173">
        <f>D77+D78</f>
        <v>11.399999999999999</v>
      </c>
    </row>
    <row r="77" spans="1:4" s="198" customFormat="1" outlineLevel="2" x14ac:dyDescent="0.25">
      <c r="A77" s="176"/>
      <c r="B77" s="175" t="s">
        <v>320</v>
      </c>
      <c r="C77" s="176" t="s">
        <v>9</v>
      </c>
      <c r="D77" s="177">
        <v>6.6</v>
      </c>
    </row>
    <row r="78" spans="1:4" s="198" customFormat="1" outlineLevel="2" x14ac:dyDescent="0.25">
      <c r="A78" s="176"/>
      <c r="B78" s="175" t="s">
        <v>111</v>
      </c>
      <c r="C78" s="176" t="s">
        <v>9</v>
      </c>
      <c r="D78" s="177">
        <v>4.8</v>
      </c>
    </row>
    <row r="79" spans="1:4" s="197" customFormat="1" outlineLevel="2" x14ac:dyDescent="0.25">
      <c r="A79" s="169"/>
      <c r="B79" s="168" t="s">
        <v>19</v>
      </c>
      <c r="C79" s="169" t="s">
        <v>4</v>
      </c>
      <c r="D79" s="173">
        <v>91.5</v>
      </c>
    </row>
    <row r="80" spans="1:4" s="198" customFormat="1" outlineLevel="2" x14ac:dyDescent="0.25">
      <c r="A80" s="176"/>
      <c r="B80" s="175" t="s">
        <v>321</v>
      </c>
      <c r="C80" s="176" t="s">
        <v>4</v>
      </c>
      <c r="D80" s="177">
        <v>92.87</v>
      </c>
    </row>
    <row r="81" spans="1:4" s="197" customFormat="1" outlineLevel="2" x14ac:dyDescent="0.25">
      <c r="A81" s="169"/>
      <c r="B81" s="168" t="s">
        <v>20</v>
      </c>
      <c r="C81" s="169" t="s">
        <v>11</v>
      </c>
      <c r="D81" s="173">
        <f>D82</f>
        <v>145.02000000000001</v>
      </c>
    </row>
    <row r="82" spans="1:4" s="197" customFormat="1" outlineLevel="2" x14ac:dyDescent="0.25">
      <c r="A82" s="176"/>
      <c r="B82" s="175" t="s">
        <v>326</v>
      </c>
      <c r="C82" s="176" t="s">
        <v>11</v>
      </c>
      <c r="D82" s="173">
        <v>145.02000000000001</v>
      </c>
    </row>
    <row r="83" spans="1:4" s="197" customFormat="1" outlineLevel="2" x14ac:dyDescent="0.25">
      <c r="A83" s="169"/>
      <c r="B83" s="168" t="s">
        <v>21</v>
      </c>
      <c r="C83" s="169" t="s">
        <v>9</v>
      </c>
      <c r="D83" s="173">
        <f>D84+D85+D86</f>
        <v>17.100000000000001</v>
      </c>
    </row>
    <row r="84" spans="1:4" s="198" customFormat="1" outlineLevel="2" x14ac:dyDescent="0.25">
      <c r="A84" s="176"/>
      <c r="B84" s="175" t="s">
        <v>52</v>
      </c>
      <c r="C84" s="176" t="s">
        <v>9</v>
      </c>
      <c r="D84" s="177">
        <v>12.8</v>
      </c>
    </row>
    <row r="85" spans="1:4" s="198" customFormat="1" outlineLevel="2" x14ac:dyDescent="0.25">
      <c r="A85" s="176"/>
      <c r="B85" s="175" t="s">
        <v>111</v>
      </c>
      <c r="C85" s="176" t="s">
        <v>9</v>
      </c>
      <c r="D85" s="177">
        <v>3.7</v>
      </c>
    </row>
    <row r="86" spans="1:4" s="198" customFormat="1" outlineLevel="2" x14ac:dyDescent="0.25">
      <c r="A86" s="176"/>
      <c r="B86" s="175" t="s">
        <v>38</v>
      </c>
      <c r="C86" s="176" t="s">
        <v>9</v>
      </c>
      <c r="D86" s="177">
        <v>0.6</v>
      </c>
    </row>
    <row r="87" spans="1:4" s="197" customFormat="1" outlineLevel="2" x14ac:dyDescent="0.25">
      <c r="A87" s="169"/>
      <c r="B87" s="168" t="s">
        <v>22</v>
      </c>
      <c r="C87" s="169" t="s">
        <v>4</v>
      </c>
      <c r="D87" s="173">
        <v>140.80000000000001</v>
      </c>
    </row>
    <row r="88" spans="1:4" s="198" customFormat="1" outlineLevel="2" x14ac:dyDescent="0.25">
      <c r="A88" s="176"/>
      <c r="B88" s="175" t="s">
        <v>321</v>
      </c>
      <c r="C88" s="176" t="s">
        <v>4</v>
      </c>
      <c r="D88" s="177">
        <v>142.91</v>
      </c>
    </row>
    <row r="89" spans="1:4" s="197" customFormat="1" outlineLevel="1" x14ac:dyDescent="0.25">
      <c r="A89" s="178" t="s">
        <v>495</v>
      </c>
      <c r="B89" s="181" t="s">
        <v>23</v>
      </c>
      <c r="C89" s="178" t="s">
        <v>11</v>
      </c>
      <c r="D89" s="179">
        <v>440.8</v>
      </c>
    </row>
    <row r="90" spans="1:4" s="197" customFormat="1" outlineLevel="2" x14ac:dyDescent="0.25">
      <c r="A90" s="176"/>
      <c r="B90" s="175" t="s">
        <v>325</v>
      </c>
      <c r="C90" s="176" t="s">
        <v>9</v>
      </c>
      <c r="D90" s="59">
        <v>7.0000000000000007E-2</v>
      </c>
    </row>
    <row r="91" spans="1:4" s="197" customFormat="1" outlineLevel="2" x14ac:dyDescent="0.25">
      <c r="A91" s="176"/>
      <c r="B91" s="175" t="s">
        <v>317</v>
      </c>
      <c r="C91" s="176" t="s">
        <v>153</v>
      </c>
      <c r="D91" s="173">
        <v>1939.52</v>
      </c>
    </row>
    <row r="92" spans="1:4" s="197" customFormat="1" outlineLevel="2" x14ac:dyDescent="0.25">
      <c r="A92" s="176"/>
      <c r="B92" s="175" t="s">
        <v>314</v>
      </c>
      <c r="C92" s="176" t="s">
        <v>11</v>
      </c>
      <c r="D92" s="173">
        <v>1013.84</v>
      </c>
    </row>
    <row r="93" spans="1:4" s="88" customFormat="1" x14ac:dyDescent="0.2">
      <c r="A93" s="202" t="s">
        <v>488</v>
      </c>
      <c r="B93" s="202"/>
      <c r="C93" s="39"/>
      <c r="D93" s="167"/>
    </row>
    <row r="94" spans="1:4" s="88" customFormat="1" outlineLevel="1" x14ac:dyDescent="0.2">
      <c r="A94" s="16" t="s">
        <v>198</v>
      </c>
      <c r="B94" s="21" t="s">
        <v>515</v>
      </c>
      <c r="C94" s="16" t="s">
        <v>11</v>
      </c>
      <c r="D94" s="43">
        <f>D95/0.1</f>
        <v>540</v>
      </c>
    </row>
    <row r="95" spans="1:4" s="197" customFormat="1" outlineLevel="2" x14ac:dyDescent="0.25">
      <c r="A95" s="138"/>
      <c r="B95" s="142" t="s">
        <v>24</v>
      </c>
      <c r="C95" s="169" t="s">
        <v>4</v>
      </c>
      <c r="D95" s="173">
        <v>54</v>
      </c>
    </row>
    <row r="96" spans="1:4" s="197" customFormat="1" outlineLevel="2" x14ac:dyDescent="0.25">
      <c r="A96" s="138"/>
      <c r="B96" s="142" t="s">
        <v>313</v>
      </c>
      <c r="C96" s="169" t="s">
        <v>4</v>
      </c>
      <c r="D96" s="173">
        <f>D95*1.02</f>
        <v>55.08</v>
      </c>
    </row>
    <row r="97" spans="1:4" s="197" customFormat="1" outlineLevel="2" x14ac:dyDescent="0.25">
      <c r="A97" s="138"/>
      <c r="B97" s="142" t="s">
        <v>25</v>
      </c>
      <c r="C97" s="169" t="s">
        <v>11</v>
      </c>
      <c r="D97" s="173">
        <v>540.1</v>
      </c>
    </row>
    <row r="98" spans="1:4" s="198" customFormat="1" outlineLevel="2" x14ac:dyDescent="0.25">
      <c r="A98" s="140"/>
      <c r="B98" s="141" t="s">
        <v>325</v>
      </c>
      <c r="C98" s="176" t="s">
        <v>9</v>
      </c>
      <c r="D98" s="183">
        <v>8.5999999999999993E-2</v>
      </c>
    </row>
    <row r="99" spans="1:4" s="198" customFormat="1" outlineLevel="2" x14ac:dyDescent="0.25">
      <c r="A99" s="140"/>
      <c r="B99" s="141" t="s">
        <v>317</v>
      </c>
      <c r="C99" s="176" t="s">
        <v>153</v>
      </c>
      <c r="D99" s="177">
        <v>2268.42</v>
      </c>
    </row>
    <row r="100" spans="1:4" s="198" customFormat="1" outlineLevel="2" x14ac:dyDescent="0.25">
      <c r="A100" s="140"/>
      <c r="B100" s="141" t="s">
        <v>318</v>
      </c>
      <c r="C100" s="176" t="s">
        <v>4</v>
      </c>
      <c r="D100" s="177">
        <v>13.5025</v>
      </c>
    </row>
    <row r="101" spans="1:4" s="198" customFormat="1" outlineLevel="2" x14ac:dyDescent="0.25">
      <c r="A101" s="140"/>
      <c r="B101" s="141" t="s">
        <v>314</v>
      </c>
      <c r="C101" s="176" t="s">
        <v>11</v>
      </c>
      <c r="D101" s="177">
        <v>1188.22</v>
      </c>
    </row>
    <row r="102" spans="1:4" s="197" customFormat="1" outlineLevel="2" x14ac:dyDescent="0.25">
      <c r="A102" s="138"/>
      <c r="B102" s="142" t="s">
        <v>26</v>
      </c>
      <c r="C102" s="169" t="s">
        <v>11</v>
      </c>
      <c r="D102" s="173">
        <v>540.1</v>
      </c>
    </row>
    <row r="103" spans="1:4" s="198" customFormat="1" outlineLevel="2" x14ac:dyDescent="0.25">
      <c r="A103" s="140"/>
      <c r="B103" s="141" t="s">
        <v>315</v>
      </c>
      <c r="C103" s="176" t="s">
        <v>4</v>
      </c>
      <c r="D103" s="177">
        <v>14.13</v>
      </c>
    </row>
    <row r="104" spans="1:4" s="198" customFormat="1" outlineLevel="2" x14ac:dyDescent="0.25">
      <c r="A104" s="140"/>
      <c r="B104" s="141" t="s">
        <v>316</v>
      </c>
      <c r="C104" s="176" t="s">
        <v>9</v>
      </c>
      <c r="D104" s="183">
        <v>6.0540000000000003</v>
      </c>
    </row>
    <row r="105" spans="1:4" s="197" customFormat="1" outlineLevel="1" x14ac:dyDescent="0.25">
      <c r="A105" s="144" t="s">
        <v>199</v>
      </c>
      <c r="B105" s="147" t="s">
        <v>201</v>
      </c>
      <c r="C105" s="178" t="s">
        <v>4</v>
      </c>
      <c r="D105" s="179">
        <v>156.9</v>
      </c>
    </row>
    <row r="106" spans="1:4" s="197" customFormat="1" outlineLevel="2" x14ac:dyDescent="0.25">
      <c r="A106" s="138"/>
      <c r="B106" s="142" t="s">
        <v>27</v>
      </c>
      <c r="C106" s="169" t="s">
        <v>11</v>
      </c>
      <c r="D106" s="173">
        <f>D107</f>
        <v>5.65</v>
      </c>
    </row>
    <row r="107" spans="1:4" s="197" customFormat="1" outlineLevel="2" x14ac:dyDescent="0.25">
      <c r="A107" s="140"/>
      <c r="B107" s="141" t="s">
        <v>326</v>
      </c>
      <c r="C107" s="176" t="s">
        <v>11</v>
      </c>
      <c r="D107" s="173">
        <v>5.65</v>
      </c>
    </row>
    <row r="108" spans="1:4" s="197" customFormat="1" outlineLevel="2" x14ac:dyDescent="0.25">
      <c r="A108" s="138"/>
      <c r="B108" s="142" t="s">
        <v>28</v>
      </c>
      <c r="C108" s="169" t="s">
        <v>9</v>
      </c>
      <c r="D108" s="173">
        <f>D109+D110</f>
        <v>20.98</v>
      </c>
    </row>
    <row r="109" spans="1:4" s="197" customFormat="1" outlineLevel="2" x14ac:dyDescent="0.25">
      <c r="A109" s="138"/>
      <c r="B109" s="142" t="s">
        <v>52</v>
      </c>
      <c r="C109" s="169" t="s">
        <v>9</v>
      </c>
      <c r="D109" s="173">
        <v>20.7</v>
      </c>
    </row>
    <row r="110" spans="1:4" s="197" customFormat="1" outlineLevel="2" x14ac:dyDescent="0.25">
      <c r="A110" s="138"/>
      <c r="B110" s="142" t="s">
        <v>327</v>
      </c>
      <c r="C110" s="169" t="s">
        <v>9</v>
      </c>
      <c r="D110" s="173">
        <v>0.28000000000000003</v>
      </c>
    </row>
    <row r="111" spans="1:4" s="197" customFormat="1" outlineLevel="2" x14ac:dyDescent="0.25">
      <c r="A111" s="138"/>
      <c r="B111" s="142" t="s">
        <v>29</v>
      </c>
      <c r="C111" s="169" t="s">
        <v>4</v>
      </c>
      <c r="D111" s="173">
        <v>156.9</v>
      </c>
    </row>
    <row r="112" spans="1:4" s="197" customFormat="1" outlineLevel="2" x14ac:dyDescent="0.25">
      <c r="A112" s="138"/>
      <c r="B112" s="142" t="s">
        <v>202</v>
      </c>
      <c r="C112" s="169" t="s">
        <v>4</v>
      </c>
      <c r="D112" s="173">
        <f>D111*1.015</f>
        <v>159.2535</v>
      </c>
    </row>
    <row r="113" spans="1:4" s="197" customFormat="1" outlineLevel="1" x14ac:dyDescent="0.25">
      <c r="A113" s="144" t="s">
        <v>203</v>
      </c>
      <c r="B113" s="147" t="s">
        <v>461</v>
      </c>
      <c r="C113" s="178" t="s">
        <v>4</v>
      </c>
      <c r="D113" s="24">
        <f>D119+D124</f>
        <v>86</v>
      </c>
    </row>
    <row r="114" spans="1:4" s="197" customFormat="1" outlineLevel="2" x14ac:dyDescent="0.25">
      <c r="A114" s="138"/>
      <c r="B114" s="142" t="s">
        <v>30</v>
      </c>
      <c r="C114" s="169" t="s">
        <v>11</v>
      </c>
      <c r="D114" s="182">
        <f>D115</f>
        <v>82.9</v>
      </c>
    </row>
    <row r="115" spans="1:4" s="197" customFormat="1" outlineLevel="2" x14ac:dyDescent="0.25">
      <c r="A115" s="140"/>
      <c r="B115" s="141" t="s">
        <v>326</v>
      </c>
      <c r="C115" s="176" t="s">
        <v>11</v>
      </c>
      <c r="D115" s="156">
        <f>67.67+15.23</f>
        <v>82.9</v>
      </c>
    </row>
    <row r="116" spans="1:4" s="197" customFormat="1" outlineLevel="2" x14ac:dyDescent="0.25">
      <c r="A116" s="138"/>
      <c r="B116" s="142" t="s">
        <v>31</v>
      </c>
      <c r="C116" s="169" t="s">
        <v>9</v>
      </c>
      <c r="D116" s="182">
        <f>D117+D118</f>
        <v>7.53</v>
      </c>
    </row>
    <row r="117" spans="1:4" s="197" customFormat="1" outlineLevel="2" x14ac:dyDescent="0.25">
      <c r="A117" s="138"/>
      <c r="B117" s="142" t="s">
        <v>52</v>
      </c>
      <c r="C117" s="169" t="s">
        <v>9</v>
      </c>
      <c r="D117" s="182">
        <v>6.9</v>
      </c>
    </row>
    <row r="118" spans="1:4" s="197" customFormat="1" outlineLevel="2" x14ac:dyDescent="0.25">
      <c r="A118" s="138"/>
      <c r="B118" s="142" t="s">
        <v>327</v>
      </c>
      <c r="C118" s="169" t="s">
        <v>9</v>
      </c>
      <c r="D118" s="182">
        <v>0.63</v>
      </c>
    </row>
    <row r="119" spans="1:4" s="197" customFormat="1" outlineLevel="2" x14ac:dyDescent="0.25">
      <c r="A119" s="138"/>
      <c r="B119" s="142" t="s">
        <v>32</v>
      </c>
      <c r="C119" s="169" t="s">
        <v>4</v>
      </c>
      <c r="D119" s="182">
        <v>65.7</v>
      </c>
    </row>
    <row r="120" spans="1:4" s="197" customFormat="1" outlineLevel="2" x14ac:dyDescent="0.25">
      <c r="A120" s="138"/>
      <c r="B120" s="142" t="s">
        <v>202</v>
      </c>
      <c r="C120" s="169" t="s">
        <v>4</v>
      </c>
      <c r="D120" s="182">
        <f>D119*1.015</f>
        <v>66.68549999999999</v>
      </c>
    </row>
    <row r="121" spans="1:4" s="197" customFormat="1" outlineLevel="2" x14ac:dyDescent="0.25">
      <c r="A121" s="138"/>
      <c r="B121" s="142" t="s">
        <v>33</v>
      </c>
      <c r="C121" s="169" t="s">
        <v>9</v>
      </c>
      <c r="D121" s="182">
        <f>D122+D123</f>
        <v>3.05</v>
      </c>
    </row>
    <row r="122" spans="1:4" s="197" customFormat="1" outlineLevel="2" x14ac:dyDescent="0.25">
      <c r="A122" s="138"/>
      <c r="B122" s="142" t="s">
        <v>52</v>
      </c>
      <c r="C122" s="169" t="s">
        <v>9</v>
      </c>
      <c r="D122" s="182">
        <v>2.8</v>
      </c>
    </row>
    <row r="123" spans="1:4" s="197" customFormat="1" outlineLevel="2" x14ac:dyDescent="0.25">
      <c r="A123" s="138"/>
      <c r="B123" s="142" t="s">
        <v>327</v>
      </c>
      <c r="C123" s="169" t="s">
        <v>9</v>
      </c>
      <c r="D123" s="182">
        <v>0.25</v>
      </c>
    </row>
    <row r="124" spans="1:4" s="197" customFormat="1" outlineLevel="2" x14ac:dyDescent="0.25">
      <c r="A124" s="138"/>
      <c r="B124" s="142" t="s">
        <v>34</v>
      </c>
      <c r="C124" s="169" t="s">
        <v>4</v>
      </c>
      <c r="D124" s="182">
        <v>20.3</v>
      </c>
    </row>
    <row r="125" spans="1:4" s="197" customFormat="1" outlineLevel="2" x14ac:dyDescent="0.25">
      <c r="A125" s="138"/>
      <c r="B125" s="142" t="s">
        <v>202</v>
      </c>
      <c r="C125" s="169" t="s">
        <v>4</v>
      </c>
      <c r="D125" s="182">
        <f>D124*1.015</f>
        <v>20.604499999999998</v>
      </c>
    </row>
    <row r="126" spans="1:4" s="197" customFormat="1" outlineLevel="1" x14ac:dyDescent="0.25">
      <c r="A126" s="144" t="s">
        <v>205</v>
      </c>
      <c r="B126" s="147" t="s">
        <v>35</v>
      </c>
      <c r="C126" s="178" t="s">
        <v>11</v>
      </c>
      <c r="D126" s="24">
        <v>229.08</v>
      </c>
    </row>
    <row r="127" spans="1:4" s="197" customFormat="1" outlineLevel="2" x14ac:dyDescent="0.25">
      <c r="A127" s="140"/>
      <c r="B127" s="141" t="s">
        <v>325</v>
      </c>
      <c r="C127" s="176" t="s">
        <v>9</v>
      </c>
      <c r="D127" s="59">
        <v>3.5999999999999997E-2</v>
      </c>
    </row>
    <row r="128" spans="1:4" s="197" customFormat="1" outlineLevel="2" x14ac:dyDescent="0.25">
      <c r="A128" s="140"/>
      <c r="B128" s="141" t="s">
        <v>317</v>
      </c>
      <c r="C128" s="176" t="s">
        <v>153</v>
      </c>
      <c r="D128" s="173">
        <v>1011.12</v>
      </c>
    </row>
    <row r="129" spans="1:4" s="197" customFormat="1" outlineLevel="2" x14ac:dyDescent="0.25">
      <c r="A129" s="140"/>
      <c r="B129" s="141" t="s">
        <v>314</v>
      </c>
      <c r="C129" s="176" t="s">
        <v>11</v>
      </c>
      <c r="D129" s="173">
        <v>528.54</v>
      </c>
    </row>
    <row r="130" spans="1:4" s="197" customFormat="1" x14ac:dyDescent="0.25">
      <c r="A130" s="133" t="s">
        <v>489</v>
      </c>
      <c r="B130" s="133"/>
      <c r="C130" s="181"/>
      <c r="D130" s="137"/>
    </row>
    <row r="131" spans="1:4" s="88" customFormat="1" ht="27.75" customHeight="1" outlineLevel="2" x14ac:dyDescent="0.2">
      <c r="A131" s="154" t="s">
        <v>207</v>
      </c>
      <c r="B131" s="149" t="s">
        <v>458</v>
      </c>
      <c r="C131" s="16" t="s">
        <v>4</v>
      </c>
      <c r="D131" s="43">
        <f>D143</f>
        <v>165.2</v>
      </c>
    </row>
    <row r="132" spans="1:4" s="197" customFormat="1" outlineLevel="3" x14ac:dyDescent="0.25">
      <c r="A132" s="138"/>
      <c r="B132" s="139" t="s">
        <v>36</v>
      </c>
      <c r="C132" s="169" t="s">
        <v>11</v>
      </c>
      <c r="D132" s="146">
        <v>170.16</v>
      </c>
    </row>
    <row r="133" spans="1:4" s="197" customFormat="1" outlineLevel="3" x14ac:dyDescent="0.25">
      <c r="A133" s="140"/>
      <c r="B133" s="141" t="s">
        <v>326</v>
      </c>
      <c r="C133" s="176" t="s">
        <v>11</v>
      </c>
      <c r="D133" s="170">
        <v>170.16</v>
      </c>
    </row>
    <row r="134" spans="1:4" s="197" customFormat="1" outlineLevel="3" x14ac:dyDescent="0.25">
      <c r="A134" s="138"/>
      <c r="B134" s="142" t="s">
        <v>37</v>
      </c>
      <c r="C134" s="169" t="s">
        <v>9</v>
      </c>
      <c r="D134" s="180">
        <f>D135+D138+D139+D136+D137+D140+D141+D142</f>
        <v>24.858999999999998</v>
      </c>
    </row>
    <row r="135" spans="1:4" s="197" customFormat="1" outlineLevel="3" x14ac:dyDescent="0.25">
      <c r="A135" s="138"/>
      <c r="B135" s="142" t="s">
        <v>38</v>
      </c>
      <c r="C135" s="169" t="s">
        <v>9</v>
      </c>
      <c r="D135" s="146">
        <v>0.59899999999999998</v>
      </c>
    </row>
    <row r="136" spans="1:4" s="197" customFormat="1" outlineLevel="3" x14ac:dyDescent="0.25">
      <c r="A136" s="138"/>
      <c r="B136" s="142" t="s">
        <v>65</v>
      </c>
      <c r="C136" s="169" t="s">
        <v>9</v>
      </c>
      <c r="D136" s="146">
        <v>0.14899999999999999</v>
      </c>
    </row>
    <row r="137" spans="1:4" s="197" customFormat="1" outlineLevel="3" x14ac:dyDescent="0.25">
      <c r="A137" s="138"/>
      <c r="B137" s="142" t="s">
        <v>106</v>
      </c>
      <c r="C137" s="169" t="s">
        <v>9</v>
      </c>
      <c r="D137" s="146">
        <v>0.70799999999999996</v>
      </c>
    </row>
    <row r="138" spans="1:4" s="197" customFormat="1" outlineLevel="3" x14ac:dyDescent="0.25">
      <c r="A138" s="138"/>
      <c r="B138" s="142" t="s">
        <v>39</v>
      </c>
      <c r="C138" s="169" t="s">
        <v>9</v>
      </c>
      <c r="D138" s="180">
        <v>13.673999999999999</v>
      </c>
    </row>
    <row r="139" spans="1:4" s="197" customFormat="1" outlineLevel="3" x14ac:dyDescent="0.25">
      <c r="A139" s="138"/>
      <c r="B139" s="142" t="s">
        <v>52</v>
      </c>
      <c r="C139" s="169" t="s">
        <v>9</v>
      </c>
      <c r="D139" s="180">
        <v>5.4980000000000002</v>
      </c>
    </row>
    <row r="140" spans="1:4" s="197" customFormat="1" outlineLevel="3" x14ac:dyDescent="0.25">
      <c r="A140" s="138"/>
      <c r="B140" s="142" t="s">
        <v>40</v>
      </c>
      <c r="C140" s="169" t="s">
        <v>9</v>
      </c>
      <c r="D140" s="180">
        <v>0.19400000000000001</v>
      </c>
    </row>
    <row r="141" spans="1:4" s="197" customFormat="1" outlineLevel="3" x14ac:dyDescent="0.25">
      <c r="A141" s="138"/>
      <c r="B141" s="142" t="s">
        <v>41</v>
      </c>
      <c r="C141" s="169" t="s">
        <v>9</v>
      </c>
      <c r="D141" s="180">
        <v>1.38</v>
      </c>
    </row>
    <row r="142" spans="1:4" s="197" customFormat="1" outlineLevel="3" x14ac:dyDescent="0.25">
      <c r="A142" s="138"/>
      <c r="B142" s="142" t="s">
        <v>64</v>
      </c>
      <c r="C142" s="169" t="s">
        <v>9</v>
      </c>
      <c r="D142" s="180">
        <v>2.657</v>
      </c>
    </row>
    <row r="143" spans="1:4" s="197" customFormat="1" ht="30.75" customHeight="1" outlineLevel="3" x14ac:dyDescent="0.25">
      <c r="A143" s="138"/>
      <c r="B143" s="143" t="s">
        <v>303</v>
      </c>
      <c r="C143" s="169" t="s">
        <v>4</v>
      </c>
      <c r="D143" s="170">
        <v>165.2</v>
      </c>
    </row>
    <row r="144" spans="1:4" s="197" customFormat="1" ht="18" customHeight="1" outlineLevel="3" x14ac:dyDescent="0.25">
      <c r="A144" s="138"/>
      <c r="B144" s="142" t="s">
        <v>202</v>
      </c>
      <c r="C144" s="169" t="s">
        <v>4</v>
      </c>
      <c r="D144" s="170">
        <f>D143*1.015</f>
        <v>167.67799999999997</v>
      </c>
    </row>
    <row r="145" spans="1:4" s="197" customFormat="1" ht="28.5" customHeight="1" outlineLevel="1" x14ac:dyDescent="0.25">
      <c r="A145" s="144" t="s">
        <v>208</v>
      </c>
      <c r="B145" s="145" t="s">
        <v>492</v>
      </c>
      <c r="C145" s="178" t="s">
        <v>11</v>
      </c>
      <c r="D145" s="61">
        <v>355</v>
      </c>
    </row>
    <row r="146" spans="1:4" s="197" customFormat="1" outlineLevel="5" x14ac:dyDescent="0.25">
      <c r="A146" s="138"/>
      <c r="B146" s="142" t="s">
        <v>42</v>
      </c>
      <c r="C146" s="169" t="s">
        <v>11</v>
      </c>
      <c r="D146" s="170">
        <v>355</v>
      </c>
    </row>
    <row r="147" spans="1:4" s="197" customFormat="1" outlineLevel="5" x14ac:dyDescent="0.25">
      <c r="A147" s="140"/>
      <c r="B147" s="141" t="s">
        <v>325</v>
      </c>
      <c r="C147" s="176" t="s">
        <v>9</v>
      </c>
      <c r="D147" s="59">
        <v>5.7000000000000002E-2</v>
      </c>
    </row>
    <row r="148" spans="1:4" s="197" customFormat="1" outlineLevel="5" x14ac:dyDescent="0.25">
      <c r="A148" s="140"/>
      <c r="B148" s="141" t="s">
        <v>317</v>
      </c>
      <c r="C148" s="176" t="s">
        <v>153</v>
      </c>
      <c r="D148" s="173">
        <v>1562</v>
      </c>
    </row>
    <row r="149" spans="1:4" s="197" customFormat="1" outlineLevel="5" x14ac:dyDescent="0.25">
      <c r="A149" s="140"/>
      <c r="B149" s="141" t="s">
        <v>314</v>
      </c>
      <c r="C149" s="176" t="s">
        <v>11</v>
      </c>
      <c r="D149" s="173">
        <v>816.5</v>
      </c>
    </row>
    <row r="150" spans="1:4" s="197" customFormat="1" outlineLevel="5" x14ac:dyDescent="0.25">
      <c r="A150" s="138"/>
      <c r="B150" s="142" t="s">
        <v>43</v>
      </c>
      <c r="C150" s="169" t="s">
        <v>11</v>
      </c>
      <c r="D150" s="170">
        <v>355</v>
      </c>
    </row>
    <row r="151" spans="1:4" s="197" customFormat="1" outlineLevel="5" x14ac:dyDescent="0.25">
      <c r="A151" s="138"/>
      <c r="B151" s="142" t="s">
        <v>329</v>
      </c>
      <c r="C151" s="169" t="s">
        <v>4</v>
      </c>
      <c r="D151" s="170">
        <v>35.5</v>
      </c>
    </row>
    <row r="152" spans="1:4" s="197" customFormat="1" ht="30" customHeight="1" outlineLevel="1" x14ac:dyDescent="0.25">
      <c r="A152" s="144" t="s">
        <v>210</v>
      </c>
      <c r="B152" s="145" t="s">
        <v>491</v>
      </c>
      <c r="C152" s="178" t="s">
        <v>11</v>
      </c>
      <c r="D152" s="61">
        <v>355</v>
      </c>
    </row>
    <row r="153" spans="1:4" s="197" customFormat="1" outlineLevel="2" x14ac:dyDescent="0.25">
      <c r="A153" s="138"/>
      <c r="B153" s="142" t="s">
        <v>330</v>
      </c>
      <c r="C153" s="169" t="s">
        <v>4</v>
      </c>
      <c r="D153" s="170">
        <v>8.1649999999999991</v>
      </c>
    </row>
    <row r="154" spans="1:4" s="197" customFormat="1" outlineLevel="2" x14ac:dyDescent="0.25">
      <c r="A154" s="138"/>
      <c r="B154" s="142" t="s">
        <v>331</v>
      </c>
      <c r="C154" s="169" t="s">
        <v>332</v>
      </c>
      <c r="D154" s="170">
        <v>17.75</v>
      </c>
    </row>
    <row r="155" spans="1:4" s="197" customFormat="1" ht="25.5" outlineLevel="1" x14ac:dyDescent="0.25">
      <c r="A155" s="144" t="s">
        <v>211</v>
      </c>
      <c r="B155" s="145" t="s">
        <v>459</v>
      </c>
      <c r="C155" s="178" t="s">
        <v>4</v>
      </c>
      <c r="D155" s="158">
        <f>D166</f>
        <v>20.16</v>
      </c>
    </row>
    <row r="156" spans="1:4" s="197" customFormat="1" outlineLevel="2" x14ac:dyDescent="0.25">
      <c r="A156" s="138"/>
      <c r="B156" s="142" t="s">
        <v>45</v>
      </c>
      <c r="C156" s="169" t="s">
        <v>11</v>
      </c>
      <c r="D156" s="158">
        <v>27.21</v>
      </c>
    </row>
    <row r="157" spans="1:4" s="197" customFormat="1" outlineLevel="2" x14ac:dyDescent="0.25">
      <c r="A157" s="140"/>
      <c r="B157" s="141" t="s">
        <v>326</v>
      </c>
      <c r="C157" s="176" t="s">
        <v>11</v>
      </c>
      <c r="D157" s="158">
        <v>27.21</v>
      </c>
    </row>
    <row r="158" spans="1:4" s="197" customFormat="1" outlineLevel="2" x14ac:dyDescent="0.25">
      <c r="A158" s="138"/>
      <c r="B158" s="142" t="s">
        <v>46</v>
      </c>
      <c r="C158" s="169" t="s">
        <v>9</v>
      </c>
      <c r="D158" s="158">
        <f>D159+D160+D161+D163+D164+D165+D162</f>
        <v>8.0609999999999999</v>
      </c>
    </row>
    <row r="159" spans="1:4" s="197" customFormat="1" outlineLevel="2" x14ac:dyDescent="0.25">
      <c r="A159" s="138"/>
      <c r="B159" s="142" t="s">
        <v>41</v>
      </c>
      <c r="C159" s="169" t="s">
        <v>9</v>
      </c>
      <c r="D159" s="158">
        <v>2.4700000000000002</v>
      </c>
    </row>
    <row r="160" spans="1:4" s="197" customFormat="1" outlineLevel="2" x14ac:dyDescent="0.25">
      <c r="A160" s="138"/>
      <c r="B160" s="142" t="s">
        <v>64</v>
      </c>
      <c r="C160" s="169" t="s">
        <v>9</v>
      </c>
      <c r="D160" s="158">
        <v>2</v>
      </c>
    </row>
    <row r="161" spans="1:4" s="197" customFormat="1" outlineLevel="2" x14ac:dyDescent="0.25">
      <c r="A161" s="138"/>
      <c r="B161" s="142" t="s">
        <v>446</v>
      </c>
      <c r="C161" s="169" t="s">
        <v>9</v>
      </c>
      <c r="D161" s="158">
        <v>0.38500000000000001</v>
      </c>
    </row>
    <row r="162" spans="1:4" s="197" customFormat="1" outlineLevel="2" x14ac:dyDescent="0.25">
      <c r="A162" s="138"/>
      <c r="B162" s="142" t="s">
        <v>53</v>
      </c>
      <c r="C162" s="169" t="s">
        <v>9</v>
      </c>
      <c r="D162" s="158">
        <v>0.76200000000000001</v>
      </c>
    </row>
    <row r="163" spans="1:4" s="197" customFormat="1" outlineLevel="2" x14ac:dyDescent="0.25">
      <c r="A163" s="138"/>
      <c r="B163" s="142" t="s">
        <v>40</v>
      </c>
      <c r="C163" s="169" t="s">
        <v>9</v>
      </c>
      <c r="D163" s="158">
        <v>1.9279999999999999</v>
      </c>
    </row>
    <row r="164" spans="1:4" s="197" customFormat="1" outlineLevel="2" x14ac:dyDescent="0.25">
      <c r="A164" s="138"/>
      <c r="B164" s="142" t="s">
        <v>65</v>
      </c>
      <c r="C164" s="169" t="s">
        <v>9</v>
      </c>
      <c r="D164" s="158">
        <v>0.29599999999999999</v>
      </c>
    </row>
    <row r="165" spans="1:4" s="197" customFormat="1" outlineLevel="2" x14ac:dyDescent="0.25">
      <c r="A165" s="138"/>
      <c r="B165" s="142" t="s">
        <v>38</v>
      </c>
      <c r="C165" s="169" t="s">
        <v>9</v>
      </c>
      <c r="D165" s="158">
        <v>0.22</v>
      </c>
    </row>
    <row r="166" spans="1:4" s="197" customFormat="1" outlineLevel="2" x14ac:dyDescent="0.25">
      <c r="A166" s="138"/>
      <c r="B166" s="142" t="s">
        <v>47</v>
      </c>
      <c r="C166" s="169" t="s">
        <v>4</v>
      </c>
      <c r="D166" s="158">
        <v>20.16</v>
      </c>
    </row>
    <row r="167" spans="1:4" s="197" customFormat="1" outlineLevel="2" x14ac:dyDescent="0.25">
      <c r="A167" s="138"/>
      <c r="B167" s="142" t="s">
        <v>333</v>
      </c>
      <c r="C167" s="169" t="s">
        <v>4</v>
      </c>
      <c r="D167" s="156">
        <f>D166*1.015</f>
        <v>20.462399999999999</v>
      </c>
    </row>
    <row r="168" spans="1:4" s="197" customFormat="1" ht="30.75" customHeight="1" outlineLevel="1" x14ac:dyDescent="0.25">
      <c r="A168" s="144" t="s">
        <v>212</v>
      </c>
      <c r="B168" s="145" t="s">
        <v>460</v>
      </c>
      <c r="C168" s="178" t="s">
        <v>4</v>
      </c>
      <c r="D168" s="61">
        <f>D182</f>
        <v>275.7</v>
      </c>
    </row>
    <row r="169" spans="1:4" s="197" customFormat="1" outlineLevel="2" x14ac:dyDescent="0.25">
      <c r="A169" s="138"/>
      <c r="B169" s="142" t="s">
        <v>50</v>
      </c>
      <c r="C169" s="169" t="s">
        <v>11</v>
      </c>
      <c r="D169" s="170">
        <v>145.02000000000001</v>
      </c>
    </row>
    <row r="170" spans="1:4" s="197" customFormat="1" outlineLevel="2" x14ac:dyDescent="0.25">
      <c r="A170" s="140"/>
      <c r="B170" s="141" t="s">
        <v>326</v>
      </c>
      <c r="C170" s="176" t="s">
        <v>11</v>
      </c>
      <c r="D170" s="170">
        <v>145.02000000000001</v>
      </c>
    </row>
    <row r="171" spans="1:4" s="197" customFormat="1" outlineLevel="2" x14ac:dyDescent="0.25">
      <c r="A171" s="140"/>
      <c r="B171" s="141" t="s">
        <v>335</v>
      </c>
      <c r="C171" s="176" t="s">
        <v>135</v>
      </c>
      <c r="D171" s="170">
        <v>6.34</v>
      </c>
    </row>
    <row r="172" spans="1:4" s="197" customFormat="1" outlineLevel="2" x14ac:dyDescent="0.25">
      <c r="A172" s="138"/>
      <c r="B172" s="142" t="s">
        <v>51</v>
      </c>
      <c r="C172" s="169" t="s">
        <v>9</v>
      </c>
      <c r="D172" s="180">
        <f>D174+D175+D176+D181+D177+D178+D179+D180+D173</f>
        <v>40.56600000000001</v>
      </c>
    </row>
    <row r="173" spans="1:4" s="197" customFormat="1" outlineLevel="2" x14ac:dyDescent="0.25">
      <c r="A173" s="138"/>
      <c r="B173" s="142" t="s">
        <v>334</v>
      </c>
      <c r="C173" s="169" t="s">
        <v>9</v>
      </c>
      <c r="D173" s="180">
        <v>0.66100000000000003</v>
      </c>
    </row>
    <row r="174" spans="1:4" s="197" customFormat="1" outlineLevel="2" x14ac:dyDescent="0.25">
      <c r="A174" s="138"/>
      <c r="B174" s="142" t="s">
        <v>52</v>
      </c>
      <c r="C174" s="169" t="s">
        <v>9</v>
      </c>
      <c r="D174" s="170">
        <v>23.2</v>
      </c>
    </row>
    <row r="175" spans="1:4" s="197" customFormat="1" outlineLevel="2" x14ac:dyDescent="0.25">
      <c r="A175" s="138"/>
      <c r="B175" s="142" t="s">
        <v>53</v>
      </c>
      <c r="C175" s="169" t="s">
        <v>9</v>
      </c>
      <c r="D175" s="170">
        <v>4.37</v>
      </c>
    </row>
    <row r="176" spans="1:4" s="197" customFormat="1" outlineLevel="2" x14ac:dyDescent="0.25">
      <c r="A176" s="138"/>
      <c r="B176" s="142" t="s">
        <v>41</v>
      </c>
      <c r="C176" s="169" t="s">
        <v>9</v>
      </c>
      <c r="D176" s="170">
        <v>7.39</v>
      </c>
    </row>
    <row r="177" spans="1:4" s="197" customFormat="1" outlineLevel="2" x14ac:dyDescent="0.25">
      <c r="A177" s="138"/>
      <c r="B177" s="142" t="s">
        <v>40</v>
      </c>
      <c r="C177" s="169" t="s">
        <v>9</v>
      </c>
      <c r="D177" s="170">
        <v>0.06</v>
      </c>
    </row>
    <row r="178" spans="1:4" s="197" customFormat="1" outlineLevel="2" x14ac:dyDescent="0.25">
      <c r="A178" s="138"/>
      <c r="B178" s="142" t="s">
        <v>39</v>
      </c>
      <c r="C178" s="169" t="s">
        <v>9</v>
      </c>
      <c r="D178" s="170">
        <v>2.95</v>
      </c>
    </row>
    <row r="179" spans="1:4" s="197" customFormat="1" outlineLevel="2" x14ac:dyDescent="0.25">
      <c r="A179" s="138"/>
      <c r="B179" s="142" t="s">
        <v>106</v>
      </c>
      <c r="C179" s="169" t="s">
        <v>9</v>
      </c>
      <c r="D179" s="170">
        <v>1.1599999999999999</v>
      </c>
    </row>
    <row r="180" spans="1:4" s="197" customFormat="1" outlineLevel="2" x14ac:dyDescent="0.25">
      <c r="A180" s="138"/>
      <c r="B180" s="142" t="s">
        <v>65</v>
      </c>
      <c r="C180" s="169" t="s">
        <v>9</v>
      </c>
      <c r="D180" s="170">
        <v>0.77</v>
      </c>
    </row>
    <row r="181" spans="1:4" s="197" customFormat="1" outlineLevel="2" x14ac:dyDescent="0.25">
      <c r="A181" s="138"/>
      <c r="B181" s="142" t="s">
        <v>38</v>
      </c>
      <c r="C181" s="169" t="s">
        <v>9</v>
      </c>
      <c r="D181" s="170">
        <v>5.0000000000000001E-3</v>
      </c>
    </row>
    <row r="182" spans="1:4" s="197" customFormat="1" outlineLevel="2" x14ac:dyDescent="0.25">
      <c r="A182" s="138"/>
      <c r="B182" s="142" t="s">
        <v>54</v>
      </c>
      <c r="C182" s="169" t="s">
        <v>4</v>
      </c>
      <c r="D182" s="170">
        <v>275.7</v>
      </c>
    </row>
    <row r="183" spans="1:4" s="197" customFormat="1" outlineLevel="2" x14ac:dyDescent="0.25">
      <c r="A183" s="138"/>
      <c r="B183" s="142" t="s">
        <v>333</v>
      </c>
      <c r="C183" s="169" t="s">
        <v>4</v>
      </c>
      <c r="D183" s="170">
        <f>D182*1.015</f>
        <v>279.83549999999997</v>
      </c>
    </row>
    <row r="184" spans="1:4" s="197" customFormat="1" ht="15.75" customHeight="1" outlineLevel="1" x14ac:dyDescent="0.25">
      <c r="A184" s="144" t="s">
        <v>214</v>
      </c>
      <c r="B184" s="147" t="s">
        <v>493</v>
      </c>
      <c r="C184" s="178" t="s">
        <v>4</v>
      </c>
      <c r="D184" s="61">
        <f>D193</f>
        <v>4.1399999999999997</v>
      </c>
    </row>
    <row r="185" spans="1:4" s="197" customFormat="1" outlineLevel="2" x14ac:dyDescent="0.25">
      <c r="A185" s="138"/>
      <c r="B185" s="142" t="s">
        <v>55</v>
      </c>
      <c r="C185" s="169" t="s">
        <v>11</v>
      </c>
      <c r="D185" s="170">
        <v>5.97</v>
      </c>
    </row>
    <row r="186" spans="1:4" s="197" customFormat="1" outlineLevel="2" x14ac:dyDescent="0.25">
      <c r="A186" s="140"/>
      <c r="B186" s="141" t="s">
        <v>326</v>
      </c>
      <c r="C186" s="176" t="s">
        <v>11</v>
      </c>
      <c r="D186" s="170">
        <v>5.97</v>
      </c>
    </row>
    <row r="187" spans="1:4" s="197" customFormat="1" outlineLevel="2" x14ac:dyDescent="0.25">
      <c r="A187" s="140"/>
      <c r="B187" s="141" t="s">
        <v>335</v>
      </c>
      <c r="C187" s="176" t="s">
        <v>135</v>
      </c>
      <c r="D187" s="170">
        <v>0.2</v>
      </c>
    </row>
    <row r="188" spans="1:4" s="197" customFormat="1" outlineLevel="2" x14ac:dyDescent="0.25">
      <c r="A188" s="138"/>
      <c r="B188" s="142" t="s">
        <v>56</v>
      </c>
      <c r="C188" s="169" t="s">
        <v>9</v>
      </c>
      <c r="D188" s="184">
        <v>0.318</v>
      </c>
    </row>
    <row r="189" spans="1:4" s="197" customFormat="1" outlineLevel="2" x14ac:dyDescent="0.25">
      <c r="A189" s="138"/>
      <c r="B189" s="142" t="s">
        <v>334</v>
      </c>
      <c r="C189" s="169" t="s">
        <v>9</v>
      </c>
      <c r="D189" s="180">
        <v>2.5999999999999999E-2</v>
      </c>
    </row>
    <row r="190" spans="1:4" s="197" customFormat="1" outlineLevel="2" x14ac:dyDescent="0.25">
      <c r="A190" s="138"/>
      <c r="B190" s="142" t="s">
        <v>39</v>
      </c>
      <c r="C190" s="169" t="s">
        <v>9</v>
      </c>
      <c r="D190" s="170">
        <v>0.22</v>
      </c>
    </row>
    <row r="191" spans="1:4" s="197" customFormat="1" outlineLevel="2" x14ac:dyDescent="0.25">
      <c r="A191" s="138"/>
      <c r="B191" s="142" t="s">
        <v>106</v>
      </c>
      <c r="C191" s="169" t="s">
        <v>9</v>
      </c>
      <c r="D191" s="170">
        <v>8.9999999999999993E-3</v>
      </c>
    </row>
    <row r="192" spans="1:4" s="197" customFormat="1" outlineLevel="2" x14ac:dyDescent="0.25">
      <c r="A192" s="138"/>
      <c r="B192" s="142" t="s">
        <v>38</v>
      </c>
      <c r="C192" s="169" t="s">
        <v>9</v>
      </c>
      <c r="D192" s="170">
        <f>(12.34+28.28+12.15+10.53)/1000</f>
        <v>6.3300000000000009E-2</v>
      </c>
    </row>
    <row r="193" spans="1:4" s="197" customFormat="1" outlineLevel="2" x14ac:dyDescent="0.25">
      <c r="A193" s="138"/>
      <c r="B193" s="142" t="s">
        <v>57</v>
      </c>
      <c r="C193" s="169" t="s">
        <v>4</v>
      </c>
      <c r="D193" s="170">
        <v>4.1399999999999997</v>
      </c>
    </row>
    <row r="194" spans="1:4" s="197" customFormat="1" outlineLevel="2" x14ac:dyDescent="0.25">
      <c r="A194" s="138"/>
      <c r="B194" s="142" t="s">
        <v>333</v>
      </c>
      <c r="C194" s="169" t="s">
        <v>4</v>
      </c>
      <c r="D194" s="170">
        <f>D193*1.015</f>
        <v>4.2020999999999988</v>
      </c>
    </row>
    <row r="195" spans="1:4" s="88" customFormat="1" ht="17.25" customHeight="1" x14ac:dyDescent="0.2">
      <c r="A195" s="202" t="s">
        <v>455</v>
      </c>
      <c r="B195" s="202"/>
      <c r="C195" s="39"/>
      <c r="D195" s="21"/>
    </row>
    <row r="196" spans="1:4" s="88" customFormat="1" ht="27" customHeight="1" outlineLevel="1" x14ac:dyDescent="0.2">
      <c r="A196" s="148" t="s">
        <v>222</v>
      </c>
      <c r="B196" s="149" t="s">
        <v>462</v>
      </c>
      <c r="C196" s="16" t="s">
        <v>4</v>
      </c>
      <c r="D196" s="43">
        <f>D204</f>
        <v>18.240000000000009</v>
      </c>
    </row>
    <row r="197" spans="1:4" s="197" customFormat="1" outlineLevel="2" x14ac:dyDescent="0.25">
      <c r="A197" s="138"/>
      <c r="B197" s="139" t="s">
        <v>36</v>
      </c>
      <c r="C197" s="169" t="s">
        <v>11</v>
      </c>
      <c r="D197" s="173">
        <v>26.81</v>
      </c>
    </row>
    <row r="198" spans="1:4" s="197" customFormat="1" outlineLevel="2" x14ac:dyDescent="0.25">
      <c r="A198" s="140"/>
      <c r="B198" s="141" t="s">
        <v>326</v>
      </c>
      <c r="C198" s="176" t="s">
        <v>11</v>
      </c>
      <c r="D198" s="173">
        <v>26.81</v>
      </c>
    </row>
    <row r="199" spans="1:4" s="197" customFormat="1" outlineLevel="2" x14ac:dyDescent="0.25">
      <c r="A199" s="138"/>
      <c r="B199" s="142" t="s">
        <v>37</v>
      </c>
      <c r="C199" s="169" t="s">
        <v>9</v>
      </c>
      <c r="D199" s="173">
        <f>D200+D201+D202+D203</f>
        <v>8.4920000000000009</v>
      </c>
    </row>
    <row r="200" spans="1:4" s="197" customFormat="1" outlineLevel="2" x14ac:dyDescent="0.25">
      <c r="A200" s="138"/>
      <c r="B200" s="142" t="s">
        <v>38</v>
      </c>
      <c r="C200" s="169" t="s">
        <v>9</v>
      </c>
      <c r="D200" s="173">
        <f>0.6-0.59</f>
        <v>1.0000000000000009E-2</v>
      </c>
    </row>
    <row r="201" spans="1:4" s="197" customFormat="1" outlineLevel="2" x14ac:dyDescent="0.25">
      <c r="A201" s="138"/>
      <c r="B201" s="142" t="s">
        <v>39</v>
      </c>
      <c r="C201" s="169" t="s">
        <v>9</v>
      </c>
      <c r="D201" s="173">
        <f>17.1-13.674</f>
        <v>3.4260000000000019</v>
      </c>
    </row>
    <row r="202" spans="1:4" s="197" customFormat="1" outlineLevel="2" x14ac:dyDescent="0.25">
      <c r="A202" s="138"/>
      <c r="B202" s="142" t="s">
        <v>40</v>
      </c>
      <c r="C202" s="169" t="s">
        <v>9</v>
      </c>
      <c r="D202" s="173">
        <v>3.2</v>
      </c>
    </row>
    <row r="203" spans="1:4" s="197" customFormat="1" outlineLevel="2" x14ac:dyDescent="0.25">
      <c r="A203" s="138"/>
      <c r="B203" s="142" t="s">
        <v>41</v>
      </c>
      <c r="C203" s="169" t="s">
        <v>9</v>
      </c>
      <c r="D203" s="173">
        <f>2.05-0.194</f>
        <v>1.8559999999999999</v>
      </c>
    </row>
    <row r="204" spans="1:4" s="197" customFormat="1" ht="30.75" customHeight="1" outlineLevel="2" x14ac:dyDescent="0.25">
      <c r="A204" s="138"/>
      <c r="B204" s="143" t="s">
        <v>303</v>
      </c>
      <c r="C204" s="169" t="s">
        <v>4</v>
      </c>
      <c r="D204" s="173">
        <f>183.44-165.2</f>
        <v>18.240000000000009</v>
      </c>
    </row>
    <row r="205" spans="1:4" s="197" customFormat="1" ht="18" customHeight="1" outlineLevel="2" x14ac:dyDescent="0.25">
      <c r="A205" s="138"/>
      <c r="B205" s="142" t="s">
        <v>202</v>
      </c>
      <c r="C205" s="169" t="s">
        <v>4</v>
      </c>
      <c r="D205" s="173">
        <f>D204*1.015</f>
        <v>18.513600000000007</v>
      </c>
    </row>
    <row r="206" spans="1:4" s="197" customFormat="1" ht="25.5" outlineLevel="1" x14ac:dyDescent="0.25">
      <c r="A206" s="144" t="s">
        <v>223</v>
      </c>
      <c r="B206" s="145" t="s">
        <v>220</v>
      </c>
      <c r="C206" s="178" t="s">
        <v>4</v>
      </c>
      <c r="D206" s="179">
        <f>D212+D217</f>
        <v>85.84</v>
      </c>
    </row>
    <row r="207" spans="1:4" s="197" customFormat="1" outlineLevel="2" x14ac:dyDescent="0.25">
      <c r="A207" s="138"/>
      <c r="B207" s="142" t="s">
        <v>45</v>
      </c>
      <c r="C207" s="169" t="s">
        <v>11</v>
      </c>
      <c r="D207" s="173">
        <v>115.89</v>
      </c>
    </row>
    <row r="208" spans="1:4" s="197" customFormat="1" outlineLevel="2" x14ac:dyDescent="0.25">
      <c r="A208" s="140"/>
      <c r="B208" s="141" t="s">
        <v>326</v>
      </c>
      <c r="C208" s="176" t="s">
        <v>11</v>
      </c>
      <c r="D208" s="173">
        <v>115.89</v>
      </c>
    </row>
    <row r="209" spans="1:4" s="197" customFormat="1" outlineLevel="2" x14ac:dyDescent="0.25">
      <c r="A209" s="138"/>
      <c r="B209" s="142" t="s">
        <v>46</v>
      </c>
      <c r="C209" s="169" t="s">
        <v>9</v>
      </c>
      <c r="D209" s="173">
        <f>D210+D211</f>
        <v>1.9099999999999997</v>
      </c>
    </row>
    <row r="210" spans="1:4" s="197" customFormat="1" outlineLevel="2" x14ac:dyDescent="0.25">
      <c r="A210" s="138"/>
      <c r="B210" s="142" t="s">
        <v>41</v>
      </c>
      <c r="C210" s="169" t="s">
        <v>9</v>
      </c>
      <c r="D210" s="173">
        <f>4.3-2.47</f>
        <v>1.8299999999999996</v>
      </c>
    </row>
    <row r="211" spans="1:4" s="197" customFormat="1" outlineLevel="2" x14ac:dyDescent="0.25">
      <c r="A211" s="138"/>
      <c r="B211" s="142" t="s">
        <v>38</v>
      </c>
      <c r="C211" s="169" t="s">
        <v>9</v>
      </c>
      <c r="D211" s="173">
        <f>0.3-0.22</f>
        <v>7.9999999999999988E-2</v>
      </c>
    </row>
    <row r="212" spans="1:4" s="197" customFormat="1" outlineLevel="2" x14ac:dyDescent="0.25">
      <c r="A212" s="138"/>
      <c r="B212" s="142" t="s">
        <v>47</v>
      </c>
      <c r="C212" s="169" t="s">
        <v>4</v>
      </c>
      <c r="D212" s="173">
        <f>20.5-20.16</f>
        <v>0.33999999999999986</v>
      </c>
    </row>
    <row r="213" spans="1:4" s="197" customFormat="1" outlineLevel="2" x14ac:dyDescent="0.25">
      <c r="A213" s="138"/>
      <c r="B213" s="142" t="s">
        <v>333</v>
      </c>
      <c r="C213" s="169" t="s">
        <v>4</v>
      </c>
      <c r="D213" s="173">
        <f>D212*1.015</f>
        <v>0.3450999999999998</v>
      </c>
    </row>
    <row r="214" spans="1:4" s="197" customFormat="1" outlineLevel="2" x14ac:dyDescent="0.25">
      <c r="A214" s="138"/>
      <c r="B214" s="142" t="s">
        <v>48</v>
      </c>
      <c r="C214" s="169" t="s">
        <v>9</v>
      </c>
      <c r="D214" s="173">
        <f>D215+D216</f>
        <v>19.2</v>
      </c>
    </row>
    <row r="215" spans="1:4" s="197" customFormat="1" outlineLevel="2" x14ac:dyDescent="0.25">
      <c r="A215" s="138"/>
      <c r="B215" s="142" t="s">
        <v>41</v>
      </c>
      <c r="C215" s="169" t="s">
        <v>9</v>
      </c>
      <c r="D215" s="173">
        <v>17.8</v>
      </c>
    </row>
    <row r="216" spans="1:4" s="197" customFormat="1" outlineLevel="2" x14ac:dyDescent="0.25">
      <c r="A216" s="138"/>
      <c r="B216" s="142" t="s">
        <v>38</v>
      </c>
      <c r="C216" s="169" t="s">
        <v>9</v>
      </c>
      <c r="D216" s="173">
        <v>1.4</v>
      </c>
    </row>
    <row r="217" spans="1:4" s="197" customFormat="1" outlineLevel="2" x14ac:dyDescent="0.25">
      <c r="A217" s="138"/>
      <c r="B217" s="142" t="s">
        <v>49</v>
      </c>
      <c r="C217" s="169" t="s">
        <v>4</v>
      </c>
      <c r="D217" s="173">
        <v>85.5</v>
      </c>
    </row>
    <row r="218" spans="1:4" s="197" customFormat="1" outlineLevel="2" x14ac:dyDescent="0.25">
      <c r="A218" s="138"/>
      <c r="B218" s="142" t="s">
        <v>333</v>
      </c>
      <c r="C218" s="169" t="s">
        <v>4</v>
      </c>
      <c r="D218" s="173">
        <f>D217*1.015</f>
        <v>86.782499999999985</v>
      </c>
    </row>
    <row r="219" spans="1:4" s="197" customFormat="1" outlineLevel="1" x14ac:dyDescent="0.25">
      <c r="A219" s="144" t="s">
        <v>225</v>
      </c>
      <c r="B219" s="147" t="s">
        <v>463</v>
      </c>
      <c r="C219" s="178" t="s">
        <v>4</v>
      </c>
      <c r="D219" s="179">
        <f>D229</f>
        <v>774.3</v>
      </c>
    </row>
    <row r="220" spans="1:4" s="197" customFormat="1" outlineLevel="2" x14ac:dyDescent="0.25">
      <c r="A220" s="138"/>
      <c r="B220" s="142" t="s">
        <v>50</v>
      </c>
      <c r="C220" s="169" t="s">
        <v>11</v>
      </c>
      <c r="D220" s="173">
        <v>407.28</v>
      </c>
    </row>
    <row r="221" spans="1:4" s="197" customFormat="1" outlineLevel="2" x14ac:dyDescent="0.25">
      <c r="A221" s="140"/>
      <c r="B221" s="141" t="s">
        <v>326</v>
      </c>
      <c r="C221" s="176" t="s">
        <v>11</v>
      </c>
      <c r="D221" s="173">
        <v>407.28</v>
      </c>
    </row>
    <row r="222" spans="1:4" s="197" customFormat="1" outlineLevel="2" x14ac:dyDescent="0.25">
      <c r="A222" s="140"/>
      <c r="B222" s="141" t="s">
        <v>335</v>
      </c>
      <c r="C222" s="176" t="s">
        <v>135</v>
      </c>
      <c r="D222" s="173">
        <v>17.809999999999999</v>
      </c>
    </row>
    <row r="223" spans="1:4" s="197" customFormat="1" outlineLevel="2" x14ac:dyDescent="0.25">
      <c r="A223" s="138"/>
      <c r="B223" s="142" t="s">
        <v>51</v>
      </c>
      <c r="C223" s="169" t="s">
        <v>9</v>
      </c>
      <c r="D223" s="184">
        <v>161.88800000000001</v>
      </c>
    </row>
    <row r="224" spans="1:4" s="197" customFormat="1" outlineLevel="2" x14ac:dyDescent="0.25">
      <c r="A224" s="138"/>
      <c r="B224" s="142" t="s">
        <v>334</v>
      </c>
      <c r="C224" s="169" t="s">
        <v>9</v>
      </c>
      <c r="D224" s="184">
        <v>1.8580000000000001</v>
      </c>
    </row>
    <row r="225" spans="1:4" s="197" customFormat="1" outlineLevel="2" x14ac:dyDescent="0.25">
      <c r="A225" s="138"/>
      <c r="B225" s="142" t="s">
        <v>52</v>
      </c>
      <c r="C225" s="169" t="s">
        <v>9</v>
      </c>
      <c r="D225" s="184">
        <f>107.25-23.2</f>
        <v>84.05</v>
      </c>
    </row>
    <row r="226" spans="1:4" s="197" customFormat="1" outlineLevel="2" x14ac:dyDescent="0.25">
      <c r="A226" s="138"/>
      <c r="B226" s="142" t="s">
        <v>53</v>
      </c>
      <c r="C226" s="169" t="s">
        <v>9</v>
      </c>
      <c r="D226" s="184">
        <f>31.2-4.37</f>
        <v>26.83</v>
      </c>
    </row>
    <row r="227" spans="1:4" s="197" customFormat="1" outlineLevel="2" x14ac:dyDescent="0.25">
      <c r="A227" s="138"/>
      <c r="B227" s="142" t="s">
        <v>41</v>
      </c>
      <c r="C227" s="169" t="s">
        <v>9</v>
      </c>
      <c r="D227" s="184">
        <f>46.8-7.39</f>
        <v>39.409999999999997</v>
      </c>
    </row>
    <row r="228" spans="1:4" s="197" customFormat="1" outlineLevel="2" x14ac:dyDescent="0.25">
      <c r="A228" s="138"/>
      <c r="B228" s="142" t="s">
        <v>38</v>
      </c>
      <c r="C228" s="169" t="s">
        <v>9</v>
      </c>
      <c r="D228" s="184">
        <f>9.75-0.01</f>
        <v>9.74</v>
      </c>
    </row>
    <row r="229" spans="1:4" s="197" customFormat="1" outlineLevel="2" x14ac:dyDescent="0.25">
      <c r="A229" s="138"/>
      <c r="B229" s="142" t="s">
        <v>54</v>
      </c>
      <c r="C229" s="169" t="s">
        <v>4</v>
      </c>
      <c r="D229" s="173">
        <f>1050-275.7</f>
        <v>774.3</v>
      </c>
    </row>
    <row r="230" spans="1:4" s="197" customFormat="1" outlineLevel="2" x14ac:dyDescent="0.25">
      <c r="A230" s="138"/>
      <c r="B230" s="142" t="s">
        <v>333</v>
      </c>
      <c r="C230" s="169" t="s">
        <v>4</v>
      </c>
      <c r="D230" s="173">
        <f>D229*1.015</f>
        <v>785.91449999999986</v>
      </c>
    </row>
    <row r="231" spans="1:4" s="197" customFormat="1" outlineLevel="1" x14ac:dyDescent="0.25">
      <c r="A231" s="144" t="s">
        <v>227</v>
      </c>
      <c r="B231" s="147" t="s">
        <v>494</v>
      </c>
      <c r="C231" s="178" t="s">
        <v>4</v>
      </c>
      <c r="D231" s="179">
        <f>D239</f>
        <v>12.66</v>
      </c>
    </row>
    <row r="232" spans="1:4" s="197" customFormat="1" outlineLevel="2" x14ac:dyDescent="0.25">
      <c r="A232" s="138"/>
      <c r="B232" s="142" t="s">
        <v>55</v>
      </c>
      <c r="C232" s="169" t="s">
        <v>11</v>
      </c>
      <c r="D232" s="173">
        <v>18.260000000000002</v>
      </c>
    </row>
    <row r="233" spans="1:4" s="197" customFormat="1" outlineLevel="2" x14ac:dyDescent="0.25">
      <c r="A233" s="140"/>
      <c r="B233" s="141" t="s">
        <v>326</v>
      </c>
      <c r="C233" s="176" t="s">
        <v>11</v>
      </c>
      <c r="D233" s="173">
        <v>18.260000000000002</v>
      </c>
    </row>
    <row r="234" spans="1:4" s="197" customFormat="1" outlineLevel="2" x14ac:dyDescent="0.25">
      <c r="A234" s="140"/>
      <c r="B234" s="141" t="s">
        <v>335</v>
      </c>
      <c r="C234" s="176" t="s">
        <v>135</v>
      </c>
      <c r="D234" s="173">
        <v>0.62</v>
      </c>
    </row>
    <row r="235" spans="1:4" s="197" customFormat="1" outlineLevel="2" x14ac:dyDescent="0.25">
      <c r="A235" s="138"/>
      <c r="B235" s="142" t="s">
        <v>56</v>
      </c>
      <c r="C235" s="169" t="s">
        <v>9</v>
      </c>
      <c r="D235" s="184">
        <v>2.7010000000000001</v>
      </c>
    </row>
    <row r="236" spans="1:4" s="197" customFormat="1" outlineLevel="2" x14ac:dyDescent="0.25">
      <c r="A236" s="138"/>
      <c r="B236" s="142" t="s">
        <v>334</v>
      </c>
      <c r="C236" s="169" t="s">
        <v>9</v>
      </c>
      <c r="D236" s="155">
        <v>8.1000000000000003E-2</v>
      </c>
    </row>
    <row r="237" spans="1:4" s="197" customFormat="1" outlineLevel="2" x14ac:dyDescent="0.25">
      <c r="A237" s="138"/>
      <c r="B237" s="142" t="s">
        <v>39</v>
      </c>
      <c r="C237" s="169" t="s">
        <v>9</v>
      </c>
      <c r="D237" s="173">
        <f>2.5-0.22</f>
        <v>2.2799999999999998</v>
      </c>
    </row>
    <row r="238" spans="1:4" s="197" customFormat="1" outlineLevel="2" x14ac:dyDescent="0.25">
      <c r="A238" s="138"/>
      <c r="B238" s="142" t="s">
        <v>38</v>
      </c>
      <c r="C238" s="169" t="s">
        <v>9</v>
      </c>
      <c r="D238" s="173">
        <f>0.4-0.06</f>
        <v>0.34</v>
      </c>
    </row>
    <row r="239" spans="1:4" s="197" customFormat="1" outlineLevel="2" x14ac:dyDescent="0.25">
      <c r="A239" s="138"/>
      <c r="B239" s="142" t="s">
        <v>57</v>
      </c>
      <c r="C239" s="169" t="s">
        <v>4</v>
      </c>
      <c r="D239" s="173">
        <f>16.8-4.14</f>
        <v>12.66</v>
      </c>
    </row>
    <row r="240" spans="1:4" s="197" customFormat="1" outlineLevel="2" x14ac:dyDescent="0.25">
      <c r="A240" s="138"/>
      <c r="B240" s="142" t="s">
        <v>333</v>
      </c>
      <c r="C240" s="169" t="s">
        <v>4</v>
      </c>
      <c r="D240" s="173">
        <f>D239*1.015</f>
        <v>12.849899999999998</v>
      </c>
    </row>
    <row r="241" spans="1:4" s="197" customFormat="1" outlineLevel="1" x14ac:dyDescent="0.25">
      <c r="A241" s="144" t="s">
        <v>233</v>
      </c>
      <c r="B241" s="147" t="s">
        <v>464</v>
      </c>
      <c r="C241" s="178" t="s">
        <v>4</v>
      </c>
      <c r="D241" s="179">
        <f>D247</f>
        <v>6</v>
      </c>
    </row>
    <row r="242" spans="1:4" s="197" customFormat="1" outlineLevel="2" x14ac:dyDescent="0.25">
      <c r="A242" s="138"/>
      <c r="B242" s="142" t="s">
        <v>58</v>
      </c>
      <c r="C242" s="169" t="s">
        <v>11</v>
      </c>
      <c r="D242" s="173">
        <f>D243</f>
        <v>0.22</v>
      </c>
    </row>
    <row r="243" spans="1:4" s="197" customFormat="1" outlineLevel="2" x14ac:dyDescent="0.25">
      <c r="A243" s="140"/>
      <c r="B243" s="141" t="s">
        <v>326</v>
      </c>
      <c r="C243" s="176" t="s">
        <v>11</v>
      </c>
      <c r="D243" s="173">
        <v>0.22</v>
      </c>
    </row>
    <row r="244" spans="1:4" s="197" customFormat="1" outlineLevel="2" x14ac:dyDescent="0.25">
      <c r="A244" s="138"/>
      <c r="B244" s="142" t="s">
        <v>59</v>
      </c>
      <c r="C244" s="169" t="s">
        <v>9</v>
      </c>
      <c r="D244" s="184">
        <f>D245+D246</f>
        <v>0.79500000000000004</v>
      </c>
    </row>
    <row r="245" spans="1:4" s="197" customFormat="1" outlineLevel="2" x14ac:dyDescent="0.25">
      <c r="A245" s="138"/>
      <c r="B245" s="142" t="s">
        <v>39</v>
      </c>
      <c r="C245" s="169" t="s">
        <v>9</v>
      </c>
      <c r="D245" s="173">
        <v>0.75</v>
      </c>
    </row>
    <row r="246" spans="1:4" s="197" customFormat="1" outlineLevel="2" x14ac:dyDescent="0.25">
      <c r="A246" s="138"/>
      <c r="B246" s="142" t="s">
        <v>38</v>
      </c>
      <c r="C246" s="169" t="s">
        <v>9</v>
      </c>
      <c r="D246" s="184">
        <v>4.4999999999999998E-2</v>
      </c>
    </row>
    <row r="247" spans="1:4" s="197" customFormat="1" outlineLevel="2" x14ac:dyDescent="0.25">
      <c r="A247" s="138"/>
      <c r="B247" s="142" t="s">
        <v>60</v>
      </c>
      <c r="C247" s="169" t="s">
        <v>4</v>
      </c>
      <c r="D247" s="173">
        <v>6</v>
      </c>
    </row>
    <row r="248" spans="1:4" s="197" customFormat="1" outlineLevel="2" x14ac:dyDescent="0.25">
      <c r="A248" s="138"/>
      <c r="B248" s="142" t="s">
        <v>333</v>
      </c>
      <c r="C248" s="169" t="s">
        <v>4</v>
      </c>
      <c r="D248" s="173">
        <f>D247*1.015</f>
        <v>6.09</v>
      </c>
    </row>
    <row r="249" spans="1:4" s="197" customFormat="1" ht="25.5" outlineLevel="1" x14ac:dyDescent="0.25">
      <c r="A249" s="144" t="s">
        <v>234</v>
      </c>
      <c r="B249" s="145" t="s">
        <v>465</v>
      </c>
      <c r="C249" s="178" t="s">
        <v>4</v>
      </c>
      <c r="D249" s="179">
        <f>D255</f>
        <v>11.3</v>
      </c>
    </row>
    <row r="250" spans="1:4" s="197" customFormat="1" outlineLevel="2" x14ac:dyDescent="0.25">
      <c r="A250" s="138"/>
      <c r="B250" s="142" t="s">
        <v>61</v>
      </c>
      <c r="C250" s="169" t="s">
        <v>11</v>
      </c>
      <c r="D250" s="173">
        <f>D251</f>
        <v>16.61</v>
      </c>
    </row>
    <row r="251" spans="1:4" s="197" customFormat="1" outlineLevel="2" x14ac:dyDescent="0.25">
      <c r="A251" s="140"/>
      <c r="B251" s="141" t="s">
        <v>326</v>
      </c>
      <c r="C251" s="176" t="s">
        <v>11</v>
      </c>
      <c r="D251" s="173">
        <v>16.61</v>
      </c>
    </row>
    <row r="252" spans="1:4" s="197" customFormat="1" outlineLevel="2" x14ac:dyDescent="0.25">
      <c r="A252" s="138"/>
      <c r="B252" s="142" t="s">
        <v>62</v>
      </c>
      <c r="C252" s="169" t="s">
        <v>9</v>
      </c>
      <c r="D252" s="173">
        <f>D253+D254</f>
        <v>2.1</v>
      </c>
    </row>
    <row r="253" spans="1:4" s="197" customFormat="1" outlineLevel="2" x14ac:dyDescent="0.25">
      <c r="A253" s="138"/>
      <c r="B253" s="142" t="s">
        <v>38</v>
      </c>
      <c r="C253" s="169" t="s">
        <v>9</v>
      </c>
      <c r="D253" s="173">
        <v>0.2</v>
      </c>
    </row>
    <row r="254" spans="1:4" s="197" customFormat="1" outlineLevel="2" x14ac:dyDescent="0.25">
      <c r="A254" s="138"/>
      <c r="B254" s="142" t="s">
        <v>52</v>
      </c>
      <c r="C254" s="169" t="s">
        <v>9</v>
      </c>
      <c r="D254" s="173">
        <v>1.9</v>
      </c>
    </row>
    <row r="255" spans="1:4" s="197" customFormat="1" outlineLevel="2" x14ac:dyDescent="0.25">
      <c r="A255" s="138"/>
      <c r="B255" s="142" t="s">
        <v>217</v>
      </c>
      <c r="C255" s="169" t="s">
        <v>4</v>
      </c>
      <c r="D255" s="173">
        <v>11.3</v>
      </c>
    </row>
    <row r="256" spans="1:4" s="197" customFormat="1" outlineLevel="2" x14ac:dyDescent="0.25">
      <c r="A256" s="138"/>
      <c r="B256" s="142" t="s">
        <v>333</v>
      </c>
      <c r="C256" s="169" t="s">
        <v>4</v>
      </c>
      <c r="D256" s="173">
        <f>D255*1.015</f>
        <v>11.4695</v>
      </c>
    </row>
    <row r="257" spans="1:4" s="88" customFormat="1" x14ac:dyDescent="0.2">
      <c r="A257" s="206" t="s">
        <v>419</v>
      </c>
      <c r="B257" s="207"/>
      <c r="C257" s="39"/>
      <c r="D257" s="21"/>
    </row>
    <row r="258" spans="1:4" s="88" customFormat="1" ht="28.5" customHeight="1" outlineLevel="1" x14ac:dyDescent="0.2">
      <c r="A258" s="148" t="s">
        <v>237</v>
      </c>
      <c r="B258" s="149" t="s">
        <v>466</v>
      </c>
      <c r="C258" s="16" t="s">
        <v>4</v>
      </c>
      <c r="D258" s="43">
        <f>D270</f>
        <v>61.83</v>
      </c>
    </row>
    <row r="259" spans="1:4" s="197" customFormat="1" outlineLevel="2" x14ac:dyDescent="0.25">
      <c r="A259" s="138"/>
      <c r="B259" s="139" t="s">
        <v>36</v>
      </c>
      <c r="C259" s="169" t="s">
        <v>11</v>
      </c>
      <c r="D259" s="170">
        <f>D260</f>
        <v>63.68</v>
      </c>
    </row>
    <row r="260" spans="1:4" s="197" customFormat="1" outlineLevel="2" x14ac:dyDescent="0.25">
      <c r="A260" s="140"/>
      <c r="B260" s="141" t="s">
        <v>326</v>
      </c>
      <c r="C260" s="176" t="s">
        <v>11</v>
      </c>
      <c r="D260" s="170">
        <v>63.68</v>
      </c>
    </row>
    <row r="261" spans="1:4" s="197" customFormat="1" outlineLevel="2" x14ac:dyDescent="0.25">
      <c r="A261" s="138"/>
      <c r="B261" s="142" t="s">
        <v>37</v>
      </c>
      <c r="C261" s="169" t="s">
        <v>9</v>
      </c>
      <c r="D261" s="184">
        <f>D262+D263+D264+D265+D266+D267+D268+D269</f>
        <v>9.3095999999999997</v>
      </c>
    </row>
    <row r="262" spans="1:4" s="197" customFormat="1" outlineLevel="2" x14ac:dyDescent="0.25">
      <c r="A262" s="138"/>
      <c r="B262" s="142" t="s">
        <v>38</v>
      </c>
      <c r="C262" s="169" t="s">
        <v>9</v>
      </c>
      <c r="D262" s="184">
        <v>0.224</v>
      </c>
    </row>
    <row r="263" spans="1:4" s="197" customFormat="1" outlineLevel="2" x14ac:dyDescent="0.25">
      <c r="A263" s="138"/>
      <c r="B263" s="142" t="s">
        <v>65</v>
      </c>
      <c r="C263" s="169" t="s">
        <v>9</v>
      </c>
      <c r="D263" s="184">
        <f>0.0556</f>
        <v>5.5599999999999997E-2</v>
      </c>
    </row>
    <row r="264" spans="1:4" s="197" customFormat="1" outlineLevel="2" x14ac:dyDescent="0.25">
      <c r="A264" s="138"/>
      <c r="B264" s="142" t="s">
        <v>106</v>
      </c>
      <c r="C264" s="169" t="s">
        <v>9</v>
      </c>
      <c r="D264" s="184">
        <f>0.265</f>
        <v>0.26500000000000001</v>
      </c>
    </row>
    <row r="265" spans="1:4" s="197" customFormat="1" outlineLevel="2" x14ac:dyDescent="0.25">
      <c r="A265" s="138"/>
      <c r="B265" s="142" t="s">
        <v>39</v>
      </c>
      <c r="C265" s="169" t="s">
        <v>9</v>
      </c>
      <c r="D265" s="184">
        <v>5.1180000000000003</v>
      </c>
    </row>
    <row r="266" spans="1:4" s="197" customFormat="1" outlineLevel="2" x14ac:dyDescent="0.25">
      <c r="A266" s="138"/>
      <c r="B266" s="142" t="s">
        <v>52</v>
      </c>
      <c r="C266" s="169" t="s">
        <v>9</v>
      </c>
      <c r="D266" s="184">
        <v>2.0579999999999998</v>
      </c>
    </row>
    <row r="267" spans="1:4" s="197" customFormat="1" outlineLevel="2" x14ac:dyDescent="0.25">
      <c r="A267" s="138"/>
      <c r="B267" s="142" t="s">
        <v>40</v>
      </c>
      <c r="C267" s="169" t="s">
        <v>9</v>
      </c>
      <c r="D267" s="184">
        <v>7.2999999999999995E-2</v>
      </c>
    </row>
    <row r="268" spans="1:4" s="197" customFormat="1" outlineLevel="2" x14ac:dyDescent="0.25">
      <c r="A268" s="138"/>
      <c r="B268" s="142" t="s">
        <v>41</v>
      </c>
      <c r="C268" s="169" t="s">
        <v>9</v>
      </c>
      <c r="D268" s="184">
        <v>0.51600000000000001</v>
      </c>
    </row>
    <row r="269" spans="1:4" s="197" customFormat="1" outlineLevel="2" x14ac:dyDescent="0.25">
      <c r="A269" s="138"/>
      <c r="B269" s="142" t="s">
        <v>64</v>
      </c>
      <c r="C269" s="169" t="s">
        <v>9</v>
      </c>
      <c r="D269" s="184">
        <v>1</v>
      </c>
    </row>
    <row r="270" spans="1:4" s="197" customFormat="1" ht="30.75" customHeight="1" outlineLevel="2" x14ac:dyDescent="0.25">
      <c r="A270" s="138"/>
      <c r="B270" s="143" t="s">
        <v>303</v>
      </c>
      <c r="C270" s="169" t="s">
        <v>4</v>
      </c>
      <c r="D270" s="173">
        <v>61.83</v>
      </c>
    </row>
    <row r="271" spans="1:4" s="197" customFormat="1" ht="18" customHeight="1" outlineLevel="2" x14ac:dyDescent="0.25">
      <c r="A271" s="138"/>
      <c r="B271" s="142" t="s">
        <v>202</v>
      </c>
      <c r="C271" s="169" t="s">
        <v>4</v>
      </c>
      <c r="D271" s="173">
        <f>D270*1.015</f>
        <v>62.757449999999992</v>
      </c>
    </row>
    <row r="272" spans="1:4" s="197" customFormat="1" ht="28.5" customHeight="1" outlineLevel="1" x14ac:dyDescent="0.25">
      <c r="A272" s="144" t="s">
        <v>238</v>
      </c>
      <c r="B272" s="145" t="s">
        <v>492</v>
      </c>
      <c r="C272" s="178" t="s">
        <v>11</v>
      </c>
      <c r="D272" s="179">
        <v>355</v>
      </c>
    </row>
    <row r="273" spans="1:6" s="197" customFormat="1" outlineLevel="2" x14ac:dyDescent="0.25">
      <c r="A273" s="138"/>
      <c r="B273" s="142" t="s">
        <v>42</v>
      </c>
      <c r="C273" s="169" t="s">
        <v>11</v>
      </c>
      <c r="D273" s="173">
        <v>355</v>
      </c>
    </row>
    <row r="274" spans="1:6" s="197" customFormat="1" outlineLevel="2" x14ac:dyDescent="0.25">
      <c r="A274" s="140"/>
      <c r="B274" s="141" t="s">
        <v>325</v>
      </c>
      <c r="C274" s="176" t="s">
        <v>9</v>
      </c>
      <c r="D274" s="59">
        <v>5.7000000000000002E-2</v>
      </c>
    </row>
    <row r="275" spans="1:6" s="197" customFormat="1" outlineLevel="2" x14ac:dyDescent="0.25">
      <c r="A275" s="140"/>
      <c r="B275" s="141" t="s">
        <v>317</v>
      </c>
      <c r="C275" s="176" t="s">
        <v>153</v>
      </c>
      <c r="D275" s="173">
        <v>1562</v>
      </c>
    </row>
    <row r="276" spans="1:6" s="197" customFormat="1" outlineLevel="2" x14ac:dyDescent="0.25">
      <c r="A276" s="140"/>
      <c r="B276" s="141" t="s">
        <v>314</v>
      </c>
      <c r="C276" s="176" t="s">
        <v>11</v>
      </c>
      <c r="D276" s="173">
        <v>816.5</v>
      </c>
    </row>
    <row r="277" spans="1:6" s="197" customFormat="1" outlineLevel="2" x14ac:dyDescent="0.25">
      <c r="A277" s="138"/>
      <c r="B277" s="142" t="s">
        <v>43</v>
      </c>
      <c r="C277" s="169" t="s">
        <v>11</v>
      </c>
      <c r="D277" s="173">
        <v>355</v>
      </c>
    </row>
    <row r="278" spans="1:6" s="197" customFormat="1" outlineLevel="2" x14ac:dyDescent="0.25">
      <c r="A278" s="138"/>
      <c r="B278" s="142" t="s">
        <v>329</v>
      </c>
      <c r="C278" s="169" t="s">
        <v>4</v>
      </c>
      <c r="D278" s="173">
        <v>35.5</v>
      </c>
    </row>
    <row r="279" spans="1:6" s="197" customFormat="1" ht="30" customHeight="1" outlineLevel="2" x14ac:dyDescent="0.25">
      <c r="A279" s="144" t="s">
        <v>239</v>
      </c>
      <c r="B279" s="145" t="s">
        <v>44</v>
      </c>
      <c r="C279" s="169" t="s">
        <v>11</v>
      </c>
      <c r="D279" s="173">
        <v>355</v>
      </c>
    </row>
    <row r="280" spans="1:6" s="197" customFormat="1" outlineLevel="2" x14ac:dyDescent="0.25">
      <c r="A280" s="138"/>
      <c r="B280" s="142" t="s">
        <v>330</v>
      </c>
      <c r="C280" s="169" t="s">
        <v>4</v>
      </c>
      <c r="D280" s="173">
        <v>8.1649999999999991</v>
      </c>
    </row>
    <row r="281" spans="1:6" s="197" customFormat="1" outlineLevel="2" x14ac:dyDescent="0.25">
      <c r="A281" s="138"/>
      <c r="B281" s="142" t="s">
        <v>331</v>
      </c>
      <c r="C281" s="169" t="s">
        <v>332</v>
      </c>
      <c r="D281" s="173">
        <v>17.75</v>
      </c>
    </row>
    <row r="282" spans="1:6" s="197" customFormat="1" ht="25.5" outlineLevel="1" x14ac:dyDescent="0.25">
      <c r="A282" s="144" t="s">
        <v>240</v>
      </c>
      <c r="B282" s="145" t="s">
        <v>467</v>
      </c>
      <c r="C282" s="178" t="s">
        <v>4</v>
      </c>
      <c r="D282" s="179">
        <f>D293</f>
        <v>64.44</v>
      </c>
    </row>
    <row r="283" spans="1:6" s="197" customFormat="1" outlineLevel="2" x14ac:dyDescent="0.25">
      <c r="A283" s="138"/>
      <c r="B283" s="142" t="s">
        <v>45</v>
      </c>
      <c r="C283" s="169" t="s">
        <v>11</v>
      </c>
      <c r="D283" s="170">
        <f>D284</f>
        <v>86.99</v>
      </c>
    </row>
    <row r="284" spans="1:6" s="197" customFormat="1" outlineLevel="2" x14ac:dyDescent="0.25">
      <c r="A284" s="140"/>
      <c r="B284" s="141" t="s">
        <v>326</v>
      </c>
      <c r="C284" s="176" t="s">
        <v>11</v>
      </c>
      <c r="D284" s="170">
        <v>86.99</v>
      </c>
    </row>
    <row r="285" spans="1:6" s="197" customFormat="1" outlineLevel="2" x14ac:dyDescent="0.25">
      <c r="A285" s="138"/>
      <c r="B285" s="142" t="s">
        <v>46</v>
      </c>
      <c r="C285" s="169" t="s">
        <v>9</v>
      </c>
      <c r="D285" s="173">
        <f>D286+D287+D288+D289+D290+D291+D292</f>
        <v>7.6779999999999999</v>
      </c>
      <c r="F285" s="197" t="e">
        <f>#REF!/#REF!</f>
        <v>#REF!</v>
      </c>
    </row>
    <row r="286" spans="1:6" s="197" customFormat="1" outlineLevel="2" x14ac:dyDescent="0.25">
      <c r="A286" s="138"/>
      <c r="B286" s="142" t="s">
        <v>53</v>
      </c>
      <c r="C286" s="169" t="s">
        <v>9</v>
      </c>
      <c r="D286" s="173">
        <v>0.38100000000000001</v>
      </c>
    </row>
    <row r="287" spans="1:6" s="197" customFormat="1" outlineLevel="2" x14ac:dyDescent="0.25">
      <c r="A287" s="138"/>
      <c r="B287" s="142" t="s">
        <v>40</v>
      </c>
      <c r="C287" s="169" t="s">
        <v>9</v>
      </c>
      <c r="D287" s="173">
        <v>0.96399999999999997</v>
      </c>
    </row>
    <row r="288" spans="1:6" s="197" customFormat="1" outlineLevel="2" x14ac:dyDescent="0.25">
      <c r="A288" s="138"/>
      <c r="B288" s="142" t="s">
        <v>446</v>
      </c>
      <c r="C288" s="169" t="s">
        <v>9</v>
      </c>
      <c r="D288" s="173">
        <v>0.4</v>
      </c>
    </row>
    <row r="289" spans="1:4" s="197" customFormat="1" outlineLevel="2" x14ac:dyDescent="0.25">
      <c r="A289" s="138"/>
      <c r="B289" s="142" t="s">
        <v>64</v>
      </c>
      <c r="C289" s="169" t="s">
        <v>9</v>
      </c>
      <c r="D289" s="173">
        <v>2.133</v>
      </c>
    </row>
    <row r="290" spans="1:4" s="197" customFormat="1" outlineLevel="2" x14ac:dyDescent="0.25">
      <c r="A290" s="138"/>
      <c r="B290" s="142" t="s">
        <v>41</v>
      </c>
      <c r="C290" s="169" t="s">
        <v>9</v>
      </c>
      <c r="D290" s="173">
        <v>3</v>
      </c>
    </row>
    <row r="291" spans="1:4" s="197" customFormat="1" outlineLevel="2" x14ac:dyDescent="0.25">
      <c r="A291" s="138"/>
      <c r="B291" s="142" t="s">
        <v>65</v>
      </c>
      <c r="C291" s="169" t="s">
        <v>9</v>
      </c>
      <c r="D291" s="173">
        <v>0.3</v>
      </c>
    </row>
    <row r="292" spans="1:4" s="197" customFormat="1" outlineLevel="2" x14ac:dyDescent="0.25">
      <c r="A292" s="138"/>
      <c r="B292" s="142" t="s">
        <v>38</v>
      </c>
      <c r="C292" s="169" t="s">
        <v>9</v>
      </c>
      <c r="D292" s="173">
        <v>0.5</v>
      </c>
    </row>
    <row r="293" spans="1:4" s="197" customFormat="1" outlineLevel="2" x14ac:dyDescent="0.25">
      <c r="A293" s="138"/>
      <c r="B293" s="142" t="s">
        <v>47</v>
      </c>
      <c r="C293" s="169" t="s">
        <v>4</v>
      </c>
      <c r="D293" s="173">
        <v>64.44</v>
      </c>
    </row>
    <row r="294" spans="1:4" s="197" customFormat="1" outlineLevel="2" x14ac:dyDescent="0.25">
      <c r="A294" s="138"/>
      <c r="B294" s="142" t="s">
        <v>333</v>
      </c>
      <c r="C294" s="169" t="s">
        <v>4</v>
      </c>
      <c r="D294" s="173">
        <f>D293*1.02</f>
        <v>65.728799999999993</v>
      </c>
    </row>
    <row r="295" spans="1:4" s="197" customFormat="1" ht="24" customHeight="1" outlineLevel="1" x14ac:dyDescent="0.25">
      <c r="A295" s="144" t="s">
        <v>242</v>
      </c>
      <c r="B295" s="147" t="s">
        <v>468</v>
      </c>
      <c r="C295" s="178" t="s">
        <v>4</v>
      </c>
      <c r="D295" s="179">
        <f>D307</f>
        <v>253.6</v>
      </c>
    </row>
    <row r="296" spans="1:4" s="197" customFormat="1" outlineLevel="2" x14ac:dyDescent="0.25">
      <c r="A296" s="138"/>
      <c r="B296" s="142" t="s">
        <v>228</v>
      </c>
      <c r="C296" s="169" t="s">
        <v>11</v>
      </c>
      <c r="D296" s="170">
        <f>D297</f>
        <v>133.38999999999999</v>
      </c>
    </row>
    <row r="297" spans="1:4" s="197" customFormat="1" outlineLevel="2" x14ac:dyDescent="0.25">
      <c r="A297" s="140"/>
      <c r="B297" s="141" t="s">
        <v>326</v>
      </c>
      <c r="C297" s="176" t="s">
        <v>11</v>
      </c>
      <c r="D297" s="170">
        <v>133.38999999999999</v>
      </c>
    </row>
    <row r="298" spans="1:4" s="197" customFormat="1" outlineLevel="2" x14ac:dyDescent="0.25">
      <c r="A298" s="140"/>
      <c r="B298" s="141" t="s">
        <v>335</v>
      </c>
      <c r="C298" s="176" t="s">
        <v>135</v>
      </c>
      <c r="D298" s="170">
        <v>5.83</v>
      </c>
    </row>
    <row r="299" spans="1:4" s="197" customFormat="1" outlineLevel="2" x14ac:dyDescent="0.25">
      <c r="A299" s="138"/>
      <c r="B299" s="142" t="s">
        <v>51</v>
      </c>
      <c r="C299" s="169" t="s">
        <v>9</v>
      </c>
      <c r="D299" s="180">
        <f>D301+D302+D303+D304+D305+D306+D300</f>
        <v>37.247999999999998</v>
      </c>
    </row>
    <row r="300" spans="1:4" s="197" customFormat="1" outlineLevel="2" x14ac:dyDescent="0.25">
      <c r="A300" s="138"/>
      <c r="B300" s="142" t="s">
        <v>337</v>
      </c>
      <c r="C300" s="169" t="s">
        <v>9</v>
      </c>
      <c r="D300" s="180">
        <v>0.60799999999999998</v>
      </c>
    </row>
    <row r="301" spans="1:4" s="197" customFormat="1" outlineLevel="2" x14ac:dyDescent="0.25">
      <c r="A301" s="138"/>
      <c r="B301" s="142" t="s">
        <v>52</v>
      </c>
      <c r="C301" s="169" t="s">
        <v>9</v>
      </c>
      <c r="D301" s="173">
        <v>21.34</v>
      </c>
    </row>
    <row r="302" spans="1:4" s="197" customFormat="1" outlineLevel="2" x14ac:dyDescent="0.25">
      <c r="A302" s="138"/>
      <c r="B302" s="142" t="s">
        <v>53</v>
      </c>
      <c r="C302" s="169" t="s">
        <v>9</v>
      </c>
      <c r="D302" s="173">
        <v>4.0199999999999996</v>
      </c>
    </row>
    <row r="303" spans="1:4" s="197" customFormat="1" outlineLevel="2" x14ac:dyDescent="0.25">
      <c r="A303" s="138"/>
      <c r="B303" s="142" t="s">
        <v>41</v>
      </c>
      <c r="C303" s="169" t="s">
        <v>9</v>
      </c>
      <c r="D303" s="173">
        <v>6.78</v>
      </c>
    </row>
    <row r="304" spans="1:4" s="197" customFormat="1" outlineLevel="2" x14ac:dyDescent="0.25">
      <c r="A304" s="138"/>
      <c r="B304" s="142" t="s">
        <v>39</v>
      </c>
      <c r="C304" s="169" t="s">
        <v>9</v>
      </c>
      <c r="D304" s="173">
        <v>2.72</v>
      </c>
    </row>
    <row r="305" spans="1:4" s="197" customFormat="1" outlineLevel="2" x14ac:dyDescent="0.25">
      <c r="A305" s="138"/>
      <c r="B305" s="142" t="s">
        <v>106</v>
      </c>
      <c r="C305" s="169" t="s">
        <v>9</v>
      </c>
      <c r="D305" s="173">
        <v>1.07</v>
      </c>
    </row>
    <row r="306" spans="1:4" s="197" customFormat="1" outlineLevel="2" x14ac:dyDescent="0.25">
      <c r="A306" s="138"/>
      <c r="B306" s="142" t="s">
        <v>65</v>
      </c>
      <c r="C306" s="169" t="s">
        <v>9</v>
      </c>
      <c r="D306" s="173">
        <v>0.71</v>
      </c>
    </row>
    <row r="307" spans="1:4" s="197" customFormat="1" outlineLevel="2" x14ac:dyDescent="0.25">
      <c r="A307" s="138"/>
      <c r="B307" s="142" t="s">
        <v>54</v>
      </c>
      <c r="C307" s="169" t="s">
        <v>4</v>
      </c>
      <c r="D307" s="173">
        <v>253.6</v>
      </c>
    </row>
    <row r="308" spans="1:4" s="197" customFormat="1" outlineLevel="2" x14ac:dyDescent="0.25">
      <c r="A308" s="138"/>
      <c r="B308" s="142" t="s">
        <v>333</v>
      </c>
      <c r="C308" s="169" t="s">
        <v>4</v>
      </c>
      <c r="D308" s="184">
        <f>D307*1.015</f>
        <v>257.404</v>
      </c>
    </row>
    <row r="309" spans="1:4" s="197" customFormat="1" ht="15.75" customHeight="1" outlineLevel="1" x14ac:dyDescent="0.25">
      <c r="A309" s="144" t="s">
        <v>246</v>
      </c>
      <c r="B309" s="147" t="s">
        <v>498</v>
      </c>
      <c r="C309" s="178" t="s">
        <v>4</v>
      </c>
      <c r="D309" s="179">
        <f>D318</f>
        <v>1.84</v>
      </c>
    </row>
    <row r="310" spans="1:4" s="197" customFormat="1" outlineLevel="2" x14ac:dyDescent="0.25">
      <c r="A310" s="138"/>
      <c r="B310" s="142" t="s">
        <v>55</v>
      </c>
      <c r="C310" s="169" t="s">
        <v>11</v>
      </c>
      <c r="D310" s="173">
        <f>D311</f>
        <v>2.65</v>
      </c>
    </row>
    <row r="311" spans="1:4" s="197" customFormat="1" outlineLevel="2" x14ac:dyDescent="0.25">
      <c r="A311" s="140"/>
      <c r="B311" s="141" t="s">
        <v>326</v>
      </c>
      <c r="C311" s="176" t="s">
        <v>11</v>
      </c>
      <c r="D311" s="173">
        <v>2.65</v>
      </c>
    </row>
    <row r="312" spans="1:4" s="197" customFormat="1" outlineLevel="2" x14ac:dyDescent="0.25">
      <c r="A312" s="140"/>
      <c r="B312" s="141" t="s">
        <v>335</v>
      </c>
      <c r="C312" s="176" t="s">
        <v>135</v>
      </c>
      <c r="D312" s="173">
        <v>0.09</v>
      </c>
    </row>
    <row r="313" spans="1:4" s="197" customFormat="1" outlineLevel="2" x14ac:dyDescent="0.25">
      <c r="A313" s="138"/>
      <c r="B313" s="142" t="s">
        <v>56</v>
      </c>
      <c r="C313" s="169" t="s">
        <v>9</v>
      </c>
      <c r="D313" s="184">
        <f>D315+D316+D317+D314</f>
        <v>0.23300000000000001</v>
      </c>
    </row>
    <row r="314" spans="1:4" s="197" customFormat="1" outlineLevel="2" x14ac:dyDescent="0.25">
      <c r="A314" s="138"/>
      <c r="B314" s="142" t="s">
        <v>334</v>
      </c>
      <c r="C314" s="169" t="s">
        <v>9</v>
      </c>
      <c r="D314" s="184">
        <v>1.0999999999999999E-2</v>
      </c>
    </row>
    <row r="315" spans="1:4" s="197" customFormat="1" outlineLevel="2" x14ac:dyDescent="0.25">
      <c r="A315" s="138"/>
      <c r="B315" s="142" t="s">
        <v>39</v>
      </c>
      <c r="C315" s="169" t="s">
        <v>9</v>
      </c>
      <c r="D315" s="173">
        <v>0.153</v>
      </c>
    </row>
    <row r="316" spans="1:4" s="197" customFormat="1" outlineLevel="2" x14ac:dyDescent="0.25">
      <c r="A316" s="138"/>
      <c r="B316" s="142" t="s">
        <v>106</v>
      </c>
      <c r="C316" s="169" t="s">
        <v>9</v>
      </c>
      <c r="D316" s="173">
        <v>8.9999999999999993E-3</v>
      </c>
    </row>
    <row r="317" spans="1:4" s="197" customFormat="1" outlineLevel="2" x14ac:dyDescent="0.25">
      <c r="A317" s="138"/>
      <c r="B317" s="142" t="s">
        <v>38</v>
      </c>
      <c r="C317" s="169" t="s">
        <v>9</v>
      </c>
      <c r="D317" s="173">
        <v>0.06</v>
      </c>
    </row>
    <row r="318" spans="1:4" s="197" customFormat="1" outlineLevel="2" x14ac:dyDescent="0.25">
      <c r="A318" s="138"/>
      <c r="B318" s="142" t="s">
        <v>57</v>
      </c>
      <c r="C318" s="169" t="s">
        <v>4</v>
      </c>
      <c r="D318" s="173">
        <v>1.84</v>
      </c>
    </row>
    <row r="319" spans="1:4" s="197" customFormat="1" outlineLevel="2" x14ac:dyDescent="0.25">
      <c r="A319" s="138"/>
      <c r="B319" s="142" t="s">
        <v>333</v>
      </c>
      <c r="C319" s="169" t="s">
        <v>4</v>
      </c>
      <c r="D319" s="173">
        <f>D318*1.02</f>
        <v>1.8768</v>
      </c>
    </row>
    <row r="320" spans="1:4" s="197" customFormat="1" x14ac:dyDescent="0.25">
      <c r="A320" s="208" t="s">
        <v>456</v>
      </c>
      <c r="B320" s="209"/>
      <c r="C320" s="169"/>
      <c r="D320" s="173"/>
    </row>
    <row r="321" spans="1:4" s="88" customFormat="1" outlineLevel="1" x14ac:dyDescent="0.2">
      <c r="A321" s="148" t="s">
        <v>250</v>
      </c>
      <c r="B321" s="153" t="s">
        <v>469</v>
      </c>
      <c r="C321" s="16" t="s">
        <v>4</v>
      </c>
      <c r="D321" s="43">
        <f>D330</f>
        <v>14.070000000000007</v>
      </c>
    </row>
    <row r="322" spans="1:4" s="197" customFormat="1" outlineLevel="2" x14ac:dyDescent="0.25">
      <c r="A322" s="138"/>
      <c r="B322" s="139" t="s">
        <v>20</v>
      </c>
      <c r="C322" s="169" t="s">
        <v>11</v>
      </c>
      <c r="D322" s="170">
        <f>D323</f>
        <v>20.68</v>
      </c>
    </row>
    <row r="323" spans="1:4" s="197" customFormat="1" outlineLevel="2" x14ac:dyDescent="0.25">
      <c r="A323" s="140"/>
      <c r="B323" s="141" t="s">
        <v>326</v>
      </c>
      <c r="C323" s="176" t="s">
        <v>11</v>
      </c>
      <c r="D323" s="170">
        <v>20.68</v>
      </c>
    </row>
    <row r="324" spans="1:4" s="197" customFormat="1" outlineLevel="2" x14ac:dyDescent="0.25">
      <c r="A324" s="138"/>
      <c r="B324" s="142" t="s">
        <v>63</v>
      </c>
      <c r="C324" s="169" t="s">
        <v>9</v>
      </c>
      <c r="D324" s="173">
        <f>D325+D326+D327+D328+D329</f>
        <v>8.2689999999999984</v>
      </c>
    </row>
    <row r="325" spans="1:4" s="197" customFormat="1" outlineLevel="2" x14ac:dyDescent="0.25">
      <c r="A325" s="138"/>
      <c r="B325" s="142" t="s">
        <v>38</v>
      </c>
      <c r="C325" s="169" t="s">
        <v>9</v>
      </c>
      <c r="D325" s="173">
        <f>0.4-0.224</f>
        <v>0.17600000000000002</v>
      </c>
    </row>
    <row r="326" spans="1:4" s="197" customFormat="1" outlineLevel="2" x14ac:dyDescent="0.25">
      <c r="A326" s="138"/>
      <c r="B326" s="142" t="s">
        <v>39</v>
      </c>
      <c r="C326" s="169" t="s">
        <v>9</v>
      </c>
      <c r="D326" s="173">
        <f>6.2-5.118</f>
        <v>1.0819999999999999</v>
      </c>
    </row>
    <row r="327" spans="1:4" s="197" customFormat="1" outlineLevel="2" x14ac:dyDescent="0.25">
      <c r="A327" s="138"/>
      <c r="B327" s="142" t="s">
        <v>40</v>
      </c>
      <c r="C327" s="169" t="s">
        <v>9</v>
      </c>
      <c r="D327" s="173">
        <f>4.6-0.073</f>
        <v>4.5269999999999992</v>
      </c>
    </row>
    <row r="328" spans="1:4" s="197" customFormat="1" outlineLevel="2" x14ac:dyDescent="0.25">
      <c r="A328" s="138"/>
      <c r="B328" s="142" t="s">
        <v>41</v>
      </c>
      <c r="C328" s="169" t="s">
        <v>9</v>
      </c>
      <c r="D328" s="173">
        <f>0.7-0.516</f>
        <v>0.18399999999999994</v>
      </c>
    </row>
    <row r="329" spans="1:4" s="197" customFormat="1" outlineLevel="2" x14ac:dyDescent="0.25">
      <c r="A329" s="138"/>
      <c r="B329" s="142" t="s">
        <v>64</v>
      </c>
      <c r="C329" s="169" t="s">
        <v>9</v>
      </c>
      <c r="D329" s="173">
        <f>3.3-1</f>
        <v>2.2999999999999998</v>
      </c>
    </row>
    <row r="330" spans="1:4" s="197" customFormat="1" outlineLevel="2" x14ac:dyDescent="0.25">
      <c r="A330" s="138"/>
      <c r="B330" s="142" t="s">
        <v>304</v>
      </c>
      <c r="C330" s="169" t="s">
        <v>4</v>
      </c>
      <c r="D330" s="173">
        <f>75.9-61.83</f>
        <v>14.070000000000007</v>
      </c>
    </row>
    <row r="331" spans="1:4" s="197" customFormat="1" outlineLevel="2" x14ac:dyDescent="0.25">
      <c r="A331" s="138"/>
      <c r="B331" s="141" t="s">
        <v>319</v>
      </c>
      <c r="C331" s="169" t="s">
        <v>4</v>
      </c>
      <c r="D331" s="173">
        <f>D330*1.015</f>
        <v>14.281050000000006</v>
      </c>
    </row>
    <row r="332" spans="1:4" s="197" customFormat="1" ht="33" customHeight="1" outlineLevel="1" x14ac:dyDescent="0.25">
      <c r="A332" s="144" t="s">
        <v>253</v>
      </c>
      <c r="B332" s="145" t="s">
        <v>470</v>
      </c>
      <c r="C332" s="178" t="s">
        <v>4</v>
      </c>
      <c r="D332" s="179">
        <f>D341+D348+D353</f>
        <v>94.14</v>
      </c>
    </row>
    <row r="333" spans="1:4" s="197" customFormat="1" outlineLevel="2" x14ac:dyDescent="0.25">
      <c r="A333" s="138"/>
      <c r="B333" s="142" t="s">
        <v>45</v>
      </c>
      <c r="C333" s="169" t="s">
        <v>11</v>
      </c>
      <c r="D333" s="170">
        <f>D334</f>
        <v>13.42</v>
      </c>
    </row>
    <row r="334" spans="1:4" s="197" customFormat="1" outlineLevel="2" x14ac:dyDescent="0.25">
      <c r="A334" s="140"/>
      <c r="B334" s="141" t="s">
        <v>326</v>
      </c>
      <c r="C334" s="176" t="s">
        <v>11</v>
      </c>
      <c r="D334" s="157">
        <f>13.42</f>
        <v>13.42</v>
      </c>
    </row>
    <row r="335" spans="1:4" s="197" customFormat="1" outlineLevel="2" x14ac:dyDescent="0.25">
      <c r="A335" s="138"/>
      <c r="B335" s="142" t="s">
        <v>46</v>
      </c>
      <c r="C335" s="169" t="s">
        <v>9</v>
      </c>
      <c r="D335" s="173">
        <f>D336+D337+D338+D339+D340</f>
        <v>7.2569999999999997</v>
      </c>
    </row>
    <row r="336" spans="1:4" s="197" customFormat="1" outlineLevel="2" x14ac:dyDescent="0.25">
      <c r="A336" s="138"/>
      <c r="B336" s="142" t="s">
        <v>40</v>
      </c>
      <c r="C336" s="169" t="s">
        <v>9</v>
      </c>
      <c r="D336" s="173">
        <f>0.9-0.2</f>
        <v>0.7</v>
      </c>
    </row>
    <row r="337" spans="1:4" s="197" customFormat="1" outlineLevel="2" x14ac:dyDescent="0.25">
      <c r="A337" s="138"/>
      <c r="B337" s="142" t="s">
        <v>41</v>
      </c>
      <c r="C337" s="169" t="s">
        <v>9</v>
      </c>
      <c r="D337" s="173">
        <f>3.6-3</f>
        <v>0.60000000000000009</v>
      </c>
    </row>
    <row r="338" spans="1:4" s="197" customFormat="1" outlineLevel="2" x14ac:dyDescent="0.25">
      <c r="A338" s="138"/>
      <c r="B338" s="142" t="s">
        <v>64</v>
      </c>
      <c r="C338" s="169" t="s">
        <v>9</v>
      </c>
      <c r="D338" s="173">
        <f>7.9-2.133</f>
        <v>5.7670000000000003</v>
      </c>
    </row>
    <row r="339" spans="1:4" s="197" customFormat="1" outlineLevel="2" x14ac:dyDescent="0.25">
      <c r="A339" s="138"/>
      <c r="B339" s="142" t="s">
        <v>65</v>
      </c>
      <c r="C339" s="169" t="s">
        <v>9</v>
      </c>
      <c r="D339" s="173">
        <f>0.4-0.31</f>
        <v>9.0000000000000024E-2</v>
      </c>
    </row>
    <row r="340" spans="1:4" s="197" customFormat="1" outlineLevel="2" x14ac:dyDescent="0.25">
      <c r="A340" s="138"/>
      <c r="B340" s="142" t="s">
        <v>66</v>
      </c>
      <c r="C340" s="169" t="s">
        <v>9</v>
      </c>
      <c r="D340" s="173">
        <f>0.4-0.3</f>
        <v>0.10000000000000003</v>
      </c>
    </row>
    <row r="341" spans="1:4" s="197" customFormat="1" outlineLevel="2" x14ac:dyDescent="0.25">
      <c r="A341" s="138"/>
      <c r="B341" s="142" t="s">
        <v>67</v>
      </c>
      <c r="C341" s="169" t="s">
        <v>4</v>
      </c>
      <c r="D341" s="173">
        <v>9.94</v>
      </c>
    </row>
    <row r="342" spans="1:4" s="197" customFormat="1" outlineLevel="2" x14ac:dyDescent="0.25">
      <c r="A342" s="138"/>
      <c r="B342" s="142" t="s">
        <v>333</v>
      </c>
      <c r="C342" s="169" t="s">
        <v>4</v>
      </c>
      <c r="D342" s="173">
        <f>D341*1.015</f>
        <v>10.089099999999998</v>
      </c>
    </row>
    <row r="343" spans="1:4" s="197" customFormat="1" outlineLevel="2" x14ac:dyDescent="0.25">
      <c r="A343" s="138"/>
      <c r="B343" s="142" t="s">
        <v>68</v>
      </c>
      <c r="C343" s="169" t="s">
        <v>69</v>
      </c>
      <c r="D343" s="173">
        <f>D344+D345+D346+D347</f>
        <v>11.049999999999999</v>
      </c>
    </row>
    <row r="344" spans="1:4" s="197" customFormat="1" outlineLevel="2" x14ac:dyDescent="0.25">
      <c r="A344" s="138"/>
      <c r="B344" s="142" t="s">
        <v>41</v>
      </c>
      <c r="C344" s="169" t="s">
        <v>9</v>
      </c>
      <c r="D344" s="173">
        <v>3.3</v>
      </c>
    </row>
    <row r="345" spans="1:4" s="197" customFormat="1" outlineLevel="2" x14ac:dyDescent="0.25">
      <c r="A345" s="138"/>
      <c r="B345" s="142" t="s">
        <v>64</v>
      </c>
      <c r="C345" s="169" t="s">
        <v>9</v>
      </c>
      <c r="D345" s="173">
        <v>7.2</v>
      </c>
    </row>
    <row r="346" spans="1:4" s="197" customFormat="1" outlineLevel="2" x14ac:dyDescent="0.25">
      <c r="A346" s="138"/>
      <c r="B346" s="142" t="s">
        <v>65</v>
      </c>
      <c r="C346" s="169" t="s">
        <v>9</v>
      </c>
      <c r="D346" s="173">
        <v>0.35</v>
      </c>
    </row>
    <row r="347" spans="1:4" s="197" customFormat="1" outlineLevel="2" x14ac:dyDescent="0.25">
      <c r="A347" s="138"/>
      <c r="B347" s="142" t="s">
        <v>66</v>
      </c>
      <c r="C347" s="169" t="s">
        <v>9</v>
      </c>
      <c r="D347" s="173">
        <v>0.2</v>
      </c>
    </row>
    <row r="348" spans="1:4" s="197" customFormat="1" outlineLevel="2" x14ac:dyDescent="0.25">
      <c r="A348" s="138"/>
      <c r="B348" s="142" t="s">
        <v>70</v>
      </c>
      <c r="C348" s="169" t="s">
        <v>4</v>
      </c>
      <c r="D348" s="173">
        <v>34.1</v>
      </c>
    </row>
    <row r="349" spans="1:4" s="197" customFormat="1" outlineLevel="2" x14ac:dyDescent="0.25">
      <c r="A349" s="138"/>
      <c r="B349" s="142" t="s">
        <v>333</v>
      </c>
      <c r="C349" s="169" t="s">
        <v>4</v>
      </c>
      <c r="D349" s="173">
        <f>D348*1.015</f>
        <v>34.611499999999999</v>
      </c>
    </row>
    <row r="350" spans="1:4" s="197" customFormat="1" outlineLevel="2" x14ac:dyDescent="0.25">
      <c r="A350" s="138"/>
      <c r="B350" s="142" t="s">
        <v>71</v>
      </c>
      <c r="C350" s="169" t="s">
        <v>9</v>
      </c>
      <c r="D350" s="173">
        <f>D351+D352</f>
        <v>9.6999999999999993</v>
      </c>
    </row>
    <row r="351" spans="1:4" s="197" customFormat="1" outlineLevel="2" x14ac:dyDescent="0.25">
      <c r="A351" s="138"/>
      <c r="B351" s="142" t="s">
        <v>64</v>
      </c>
      <c r="C351" s="169" t="s">
        <v>9</v>
      </c>
      <c r="D351" s="173">
        <v>9.1</v>
      </c>
    </row>
    <row r="352" spans="1:4" s="197" customFormat="1" outlineLevel="2" x14ac:dyDescent="0.25">
      <c r="A352" s="138"/>
      <c r="B352" s="142" t="s">
        <v>65</v>
      </c>
      <c r="C352" s="169" t="s">
        <v>9</v>
      </c>
      <c r="D352" s="173">
        <v>0.6</v>
      </c>
    </row>
    <row r="353" spans="1:4" s="197" customFormat="1" outlineLevel="2" x14ac:dyDescent="0.25">
      <c r="A353" s="138"/>
      <c r="B353" s="142" t="s">
        <v>72</v>
      </c>
      <c r="C353" s="169" t="s">
        <v>4</v>
      </c>
      <c r="D353" s="173">
        <v>50.1</v>
      </c>
    </row>
    <row r="354" spans="1:4" s="197" customFormat="1" outlineLevel="2" x14ac:dyDescent="0.25">
      <c r="A354" s="138"/>
      <c r="B354" s="142" t="s">
        <v>333</v>
      </c>
      <c r="C354" s="169" t="s">
        <v>4</v>
      </c>
      <c r="D354" s="173">
        <f>D353*1.015</f>
        <v>50.851499999999994</v>
      </c>
    </row>
    <row r="355" spans="1:4" s="197" customFormat="1" ht="24" customHeight="1" outlineLevel="1" x14ac:dyDescent="0.25">
      <c r="A355" s="144" t="s">
        <v>254</v>
      </c>
      <c r="B355" s="147" t="s">
        <v>471</v>
      </c>
      <c r="C355" s="178" t="s">
        <v>4</v>
      </c>
      <c r="D355" s="179">
        <f>D365</f>
        <v>148.32500000000002</v>
      </c>
    </row>
    <row r="356" spans="1:4" s="197" customFormat="1" outlineLevel="2" x14ac:dyDescent="0.25">
      <c r="A356" s="138"/>
      <c r="B356" s="142" t="s">
        <v>228</v>
      </c>
      <c r="C356" s="169" t="s">
        <v>11</v>
      </c>
      <c r="D356" s="170">
        <f>D357</f>
        <v>78.02</v>
      </c>
    </row>
    <row r="357" spans="1:4" s="197" customFormat="1" outlineLevel="2" x14ac:dyDescent="0.25">
      <c r="A357" s="140"/>
      <c r="B357" s="141" t="s">
        <v>326</v>
      </c>
      <c r="C357" s="176" t="s">
        <v>11</v>
      </c>
      <c r="D357" s="170">
        <v>78.02</v>
      </c>
    </row>
    <row r="358" spans="1:4" s="197" customFormat="1" outlineLevel="2" x14ac:dyDescent="0.25">
      <c r="A358" s="140"/>
      <c r="B358" s="141" t="s">
        <v>335</v>
      </c>
      <c r="C358" s="176" t="s">
        <v>135</v>
      </c>
      <c r="D358" s="170">
        <v>3.41</v>
      </c>
    </row>
    <row r="359" spans="1:4" s="197" customFormat="1" outlineLevel="2" x14ac:dyDescent="0.25">
      <c r="A359" s="138"/>
      <c r="B359" s="142" t="s">
        <v>51</v>
      </c>
      <c r="C359" s="169" t="s">
        <v>9</v>
      </c>
      <c r="D359" s="184">
        <f>D361+D362+D363+D364+D360</f>
        <v>44.216000000000001</v>
      </c>
    </row>
    <row r="360" spans="1:4" s="197" customFormat="1" outlineLevel="2" x14ac:dyDescent="0.25">
      <c r="A360" s="138"/>
      <c r="B360" s="142" t="s">
        <v>337</v>
      </c>
      <c r="C360" s="169" t="s">
        <v>9</v>
      </c>
      <c r="D360" s="180">
        <v>0.35599999999999998</v>
      </c>
    </row>
    <row r="361" spans="1:4" s="197" customFormat="1" outlineLevel="2" x14ac:dyDescent="0.25">
      <c r="A361" s="138"/>
      <c r="B361" s="142" t="s">
        <v>52</v>
      </c>
      <c r="C361" s="169" t="s">
        <v>9</v>
      </c>
      <c r="D361" s="173">
        <f>41.8-21.34</f>
        <v>20.459999999999997</v>
      </c>
    </row>
    <row r="362" spans="1:4" s="197" customFormat="1" outlineLevel="2" x14ac:dyDescent="0.25">
      <c r="A362" s="138"/>
      <c r="B362" s="142" t="s">
        <v>53</v>
      </c>
      <c r="C362" s="169" t="s">
        <v>9</v>
      </c>
      <c r="D362" s="173">
        <f>12.1-4.02</f>
        <v>8.08</v>
      </c>
    </row>
    <row r="363" spans="1:4" s="197" customFormat="1" outlineLevel="2" x14ac:dyDescent="0.25">
      <c r="A363" s="138"/>
      <c r="B363" s="142" t="s">
        <v>41</v>
      </c>
      <c r="C363" s="169" t="s">
        <v>9</v>
      </c>
      <c r="D363" s="173">
        <f>18.1-6.78</f>
        <v>11.32</v>
      </c>
    </row>
    <row r="364" spans="1:4" s="197" customFormat="1" outlineLevel="2" x14ac:dyDescent="0.25">
      <c r="A364" s="138"/>
      <c r="B364" s="142" t="s">
        <v>38</v>
      </c>
      <c r="C364" s="169" t="s">
        <v>9</v>
      </c>
      <c r="D364" s="173">
        <v>4</v>
      </c>
    </row>
    <row r="365" spans="1:4" s="197" customFormat="1" outlineLevel="2" x14ac:dyDescent="0.25">
      <c r="A365" s="138"/>
      <c r="B365" s="142" t="s">
        <v>54</v>
      </c>
      <c r="C365" s="169" t="s">
        <v>4</v>
      </c>
      <c r="D365" s="173">
        <f>401.925-253.6</f>
        <v>148.32500000000002</v>
      </c>
    </row>
    <row r="366" spans="1:4" s="197" customFormat="1" outlineLevel="2" x14ac:dyDescent="0.25">
      <c r="A366" s="138"/>
      <c r="B366" s="142" t="s">
        <v>333</v>
      </c>
      <c r="C366" s="169" t="s">
        <v>4</v>
      </c>
      <c r="D366" s="173">
        <f>D365*1.015</f>
        <v>150.54987500000001</v>
      </c>
    </row>
    <row r="367" spans="1:4" s="197" customFormat="1" outlineLevel="1" x14ac:dyDescent="0.25">
      <c r="A367" s="144" t="s">
        <v>255</v>
      </c>
      <c r="B367" s="147" t="s">
        <v>472</v>
      </c>
      <c r="C367" s="178" t="s">
        <v>4</v>
      </c>
      <c r="D367" s="179">
        <f>D373</f>
        <v>84.2</v>
      </c>
    </row>
    <row r="368" spans="1:4" s="197" customFormat="1" outlineLevel="2" x14ac:dyDescent="0.25">
      <c r="A368" s="138"/>
      <c r="B368" s="142" t="s">
        <v>58</v>
      </c>
      <c r="C368" s="169" t="s">
        <v>11</v>
      </c>
      <c r="D368" s="173">
        <f>D369</f>
        <v>3.03</v>
      </c>
    </row>
    <row r="369" spans="1:4" s="197" customFormat="1" outlineLevel="2" x14ac:dyDescent="0.25">
      <c r="A369" s="140"/>
      <c r="B369" s="141" t="s">
        <v>326</v>
      </c>
      <c r="C369" s="176" t="s">
        <v>11</v>
      </c>
      <c r="D369" s="173">
        <v>3.03</v>
      </c>
    </row>
    <row r="370" spans="1:4" s="197" customFormat="1" outlineLevel="2" x14ac:dyDescent="0.25">
      <c r="A370" s="138"/>
      <c r="B370" s="142" t="s">
        <v>73</v>
      </c>
      <c r="C370" s="169" t="s">
        <v>9</v>
      </c>
      <c r="D370" s="173">
        <f>D371+D372</f>
        <v>14.4</v>
      </c>
    </row>
    <row r="371" spans="1:4" s="197" customFormat="1" outlineLevel="2" x14ac:dyDescent="0.25">
      <c r="A371" s="138"/>
      <c r="B371" s="142" t="s">
        <v>52</v>
      </c>
      <c r="C371" s="169" t="s">
        <v>9</v>
      </c>
      <c r="D371" s="173">
        <v>13.5</v>
      </c>
    </row>
    <row r="372" spans="1:4" s="197" customFormat="1" outlineLevel="2" x14ac:dyDescent="0.25">
      <c r="A372" s="138"/>
      <c r="B372" s="142" t="s">
        <v>38</v>
      </c>
      <c r="C372" s="169" t="s">
        <v>9</v>
      </c>
      <c r="D372" s="173">
        <v>0.9</v>
      </c>
    </row>
    <row r="373" spans="1:4" s="197" customFormat="1" outlineLevel="2" x14ac:dyDescent="0.25">
      <c r="A373" s="138"/>
      <c r="B373" s="142" t="s">
        <v>60</v>
      </c>
      <c r="C373" s="169" t="s">
        <v>4</v>
      </c>
      <c r="D373" s="173">
        <v>84.2</v>
      </c>
    </row>
    <row r="374" spans="1:4" s="197" customFormat="1" outlineLevel="2" x14ac:dyDescent="0.25">
      <c r="A374" s="138"/>
      <c r="B374" s="142" t="s">
        <v>333</v>
      </c>
      <c r="C374" s="169" t="s">
        <v>4</v>
      </c>
      <c r="D374" s="173">
        <f>D373*1.015</f>
        <v>85.462999999999994</v>
      </c>
    </row>
    <row r="375" spans="1:4" s="197" customFormat="1" outlineLevel="1" x14ac:dyDescent="0.25">
      <c r="A375" s="144" t="s">
        <v>256</v>
      </c>
      <c r="B375" s="147" t="s">
        <v>232</v>
      </c>
      <c r="C375" s="178" t="s">
        <v>4</v>
      </c>
      <c r="D375" s="179">
        <f>D381</f>
        <v>43.6</v>
      </c>
    </row>
    <row r="376" spans="1:4" s="197" customFormat="1" outlineLevel="2" x14ac:dyDescent="0.25">
      <c r="A376" s="138"/>
      <c r="B376" s="142" t="s">
        <v>61</v>
      </c>
      <c r="C376" s="169" t="s">
        <v>11</v>
      </c>
      <c r="D376" s="173">
        <f>D377</f>
        <v>64.09</v>
      </c>
    </row>
    <row r="377" spans="1:4" s="197" customFormat="1" outlineLevel="2" x14ac:dyDescent="0.25">
      <c r="A377" s="140"/>
      <c r="B377" s="141" t="s">
        <v>326</v>
      </c>
      <c r="C377" s="176" t="s">
        <v>11</v>
      </c>
      <c r="D377" s="173">
        <v>64.09</v>
      </c>
    </row>
    <row r="378" spans="1:4" s="197" customFormat="1" outlineLevel="2" x14ac:dyDescent="0.25">
      <c r="A378" s="138"/>
      <c r="B378" s="142" t="s">
        <v>74</v>
      </c>
      <c r="C378" s="169" t="s">
        <v>9</v>
      </c>
      <c r="D378" s="173">
        <f>D379+D380</f>
        <v>7.6</v>
      </c>
    </row>
    <row r="379" spans="1:4" s="197" customFormat="1" outlineLevel="2" x14ac:dyDescent="0.25">
      <c r="A379" s="138"/>
      <c r="B379" s="142" t="s">
        <v>38</v>
      </c>
      <c r="C379" s="169" t="s">
        <v>9</v>
      </c>
      <c r="D379" s="173">
        <v>0.5</v>
      </c>
    </row>
    <row r="380" spans="1:4" s="197" customFormat="1" outlineLevel="2" x14ac:dyDescent="0.25">
      <c r="A380" s="138"/>
      <c r="B380" s="142" t="s">
        <v>52</v>
      </c>
      <c r="C380" s="169" t="s">
        <v>9</v>
      </c>
      <c r="D380" s="173">
        <v>7.1</v>
      </c>
    </row>
    <row r="381" spans="1:4" s="197" customFormat="1" outlineLevel="2" x14ac:dyDescent="0.25">
      <c r="A381" s="138"/>
      <c r="B381" s="142" t="s">
        <v>75</v>
      </c>
      <c r="C381" s="169" t="s">
        <v>4</v>
      </c>
      <c r="D381" s="173">
        <v>43.6</v>
      </c>
    </row>
    <row r="382" spans="1:4" s="197" customFormat="1" outlineLevel="2" x14ac:dyDescent="0.25">
      <c r="A382" s="138"/>
      <c r="B382" s="142" t="s">
        <v>202</v>
      </c>
      <c r="C382" s="169" t="s">
        <v>4</v>
      </c>
      <c r="D382" s="173">
        <f>D381*1.015</f>
        <v>44.253999999999998</v>
      </c>
    </row>
    <row r="383" spans="1:4" s="88" customFormat="1" x14ac:dyDescent="0.2">
      <c r="A383" s="206" t="s">
        <v>420</v>
      </c>
      <c r="B383" s="207"/>
      <c r="C383" s="39"/>
      <c r="D383" s="21"/>
    </row>
    <row r="384" spans="1:4" s="88" customFormat="1" ht="15" customHeight="1" outlineLevel="1" x14ac:dyDescent="0.2">
      <c r="A384" s="16" t="s">
        <v>265</v>
      </c>
      <c r="B384" s="21" t="s">
        <v>269</v>
      </c>
      <c r="C384" s="16" t="s">
        <v>9</v>
      </c>
      <c r="D384" s="43">
        <f>D385</f>
        <v>27.799999999999997</v>
      </c>
    </row>
    <row r="385" spans="1:4" s="197" customFormat="1" outlineLevel="2" x14ac:dyDescent="0.25">
      <c r="A385" s="169"/>
      <c r="B385" s="168" t="s">
        <v>76</v>
      </c>
      <c r="C385" s="178" t="s">
        <v>9</v>
      </c>
      <c r="D385" s="179">
        <f>D386+D387+D388+D389+D390</f>
        <v>27.799999999999997</v>
      </c>
    </row>
    <row r="386" spans="1:4" s="197" customFormat="1" outlineLevel="2" x14ac:dyDescent="0.25">
      <c r="A386" s="169"/>
      <c r="B386" s="168" t="s">
        <v>77</v>
      </c>
      <c r="C386" s="169" t="s">
        <v>9</v>
      </c>
      <c r="D386" s="173">
        <v>2.1</v>
      </c>
    </row>
    <row r="387" spans="1:4" s="197" customFormat="1" outlineLevel="2" x14ac:dyDescent="0.25">
      <c r="A387" s="169"/>
      <c r="B387" s="168" t="s">
        <v>78</v>
      </c>
      <c r="C387" s="169" t="s">
        <v>9</v>
      </c>
      <c r="D387" s="173">
        <v>3.8</v>
      </c>
    </row>
    <row r="388" spans="1:4" s="197" customFormat="1" outlineLevel="2" x14ac:dyDescent="0.25">
      <c r="A388" s="169"/>
      <c r="B388" s="168" t="s">
        <v>79</v>
      </c>
      <c r="C388" s="169" t="s">
        <v>9</v>
      </c>
      <c r="D388" s="173">
        <v>3.8</v>
      </c>
    </row>
    <row r="389" spans="1:4" s="197" customFormat="1" outlineLevel="2" x14ac:dyDescent="0.25">
      <c r="A389" s="169"/>
      <c r="B389" s="168" t="s">
        <v>80</v>
      </c>
      <c r="C389" s="169" t="s">
        <v>9</v>
      </c>
      <c r="D389" s="173">
        <v>5.4</v>
      </c>
    </row>
    <row r="390" spans="1:4" s="197" customFormat="1" outlineLevel="2" x14ac:dyDescent="0.25">
      <c r="A390" s="169"/>
      <c r="B390" s="168" t="s">
        <v>81</v>
      </c>
      <c r="C390" s="169" t="s">
        <v>9</v>
      </c>
      <c r="D390" s="173">
        <v>12.7</v>
      </c>
    </row>
    <row r="391" spans="1:4" s="197" customFormat="1" outlineLevel="1" x14ac:dyDescent="0.25">
      <c r="A391" s="178" t="s">
        <v>266</v>
      </c>
      <c r="B391" s="181" t="s">
        <v>244</v>
      </c>
      <c r="C391" s="178" t="s">
        <v>9</v>
      </c>
      <c r="D391" s="179">
        <f>D392</f>
        <v>6.5</v>
      </c>
    </row>
    <row r="392" spans="1:4" s="197" customFormat="1" outlineLevel="2" x14ac:dyDescent="0.25">
      <c r="A392" s="169"/>
      <c r="B392" s="168" t="s">
        <v>82</v>
      </c>
      <c r="C392" s="169" t="s">
        <v>9</v>
      </c>
      <c r="D392" s="173">
        <v>6.5</v>
      </c>
    </row>
    <row r="393" spans="1:4" s="197" customFormat="1" outlineLevel="1" x14ac:dyDescent="0.25">
      <c r="A393" s="178" t="s">
        <v>267</v>
      </c>
      <c r="B393" s="181" t="s">
        <v>243</v>
      </c>
      <c r="C393" s="178" t="s">
        <v>9</v>
      </c>
      <c r="D393" s="179">
        <f>D394</f>
        <v>20.100000000000001</v>
      </c>
    </row>
    <row r="394" spans="1:4" s="197" customFormat="1" outlineLevel="2" x14ac:dyDescent="0.25">
      <c r="A394" s="169"/>
      <c r="B394" s="168" t="s">
        <v>83</v>
      </c>
      <c r="C394" s="169" t="s">
        <v>9</v>
      </c>
      <c r="D394" s="173">
        <f>D395+D396+D397+D398+D399</f>
        <v>20.100000000000001</v>
      </c>
    </row>
    <row r="395" spans="1:4" s="197" customFormat="1" outlineLevel="2" x14ac:dyDescent="0.25">
      <c r="A395" s="169"/>
      <c r="B395" s="168" t="s">
        <v>84</v>
      </c>
      <c r="C395" s="169" t="s">
        <v>9</v>
      </c>
      <c r="D395" s="173">
        <v>5</v>
      </c>
    </row>
    <row r="396" spans="1:4" s="197" customFormat="1" outlineLevel="2" x14ac:dyDescent="0.25">
      <c r="A396" s="169"/>
      <c r="B396" s="168" t="s">
        <v>85</v>
      </c>
      <c r="C396" s="169" t="s">
        <v>9</v>
      </c>
      <c r="D396" s="173">
        <v>9</v>
      </c>
    </row>
    <row r="397" spans="1:4" s="197" customFormat="1" outlineLevel="2" x14ac:dyDescent="0.25">
      <c r="A397" s="169"/>
      <c r="B397" s="168" t="s">
        <v>86</v>
      </c>
      <c r="C397" s="169" t="s">
        <v>9</v>
      </c>
      <c r="D397" s="173">
        <v>5</v>
      </c>
    </row>
    <row r="398" spans="1:4" s="197" customFormat="1" outlineLevel="2" x14ac:dyDescent="0.25">
      <c r="A398" s="169"/>
      <c r="B398" s="168" t="s">
        <v>87</v>
      </c>
      <c r="C398" s="169" t="s">
        <v>9</v>
      </c>
      <c r="D398" s="173">
        <v>0.5</v>
      </c>
    </row>
    <row r="399" spans="1:4" s="197" customFormat="1" outlineLevel="2" x14ac:dyDescent="0.25">
      <c r="A399" s="169"/>
      <c r="B399" s="168" t="s">
        <v>88</v>
      </c>
      <c r="C399" s="169" t="s">
        <v>9</v>
      </c>
      <c r="D399" s="173">
        <v>0.6</v>
      </c>
    </row>
    <row r="400" spans="1:4" s="197" customFormat="1" outlineLevel="1" x14ac:dyDescent="0.25">
      <c r="A400" s="178" t="s">
        <v>268</v>
      </c>
      <c r="B400" s="181" t="s">
        <v>241</v>
      </c>
      <c r="C400" s="178" t="s">
        <v>9</v>
      </c>
      <c r="D400" s="179">
        <f>D401+D402</f>
        <v>21.9</v>
      </c>
    </row>
    <row r="401" spans="1:4" s="197" customFormat="1" outlineLevel="2" x14ac:dyDescent="0.25">
      <c r="A401" s="169"/>
      <c r="B401" s="168" t="s">
        <v>89</v>
      </c>
      <c r="C401" s="169" t="s">
        <v>9</v>
      </c>
      <c r="D401" s="173">
        <v>17.899999999999999</v>
      </c>
    </row>
    <row r="402" spans="1:4" s="197" customFormat="1" outlineLevel="2" x14ac:dyDescent="0.25">
      <c r="A402" s="169"/>
      <c r="B402" s="168" t="s">
        <v>90</v>
      </c>
      <c r="C402" s="169" t="s">
        <v>9</v>
      </c>
      <c r="D402" s="173">
        <v>4</v>
      </c>
    </row>
    <row r="403" spans="1:4" s="197" customFormat="1" outlineLevel="1" x14ac:dyDescent="0.25">
      <c r="A403" s="178" t="s">
        <v>275</v>
      </c>
      <c r="B403" s="181" t="s">
        <v>273</v>
      </c>
      <c r="C403" s="178" t="s">
        <v>9</v>
      </c>
      <c r="D403" s="179">
        <f>D404</f>
        <v>14.15</v>
      </c>
    </row>
    <row r="404" spans="1:4" s="197" customFormat="1" outlineLevel="2" x14ac:dyDescent="0.25">
      <c r="A404" s="169"/>
      <c r="B404" s="168" t="s">
        <v>91</v>
      </c>
      <c r="C404" s="169" t="s">
        <v>9</v>
      </c>
      <c r="D404" s="173">
        <f>D405+D406+D407+D408+D409+D410+D411+D412+D413+D414</f>
        <v>14.15</v>
      </c>
    </row>
    <row r="405" spans="1:4" s="198" customFormat="1" outlineLevel="2" x14ac:dyDescent="0.25">
      <c r="A405" s="176"/>
      <c r="B405" s="175" t="s">
        <v>92</v>
      </c>
      <c r="C405" s="176" t="s">
        <v>9</v>
      </c>
      <c r="D405" s="177">
        <v>2.2999999999999998</v>
      </c>
    </row>
    <row r="406" spans="1:4" s="198" customFormat="1" outlineLevel="2" x14ac:dyDescent="0.25">
      <c r="A406" s="176"/>
      <c r="B406" s="175" t="s">
        <v>93</v>
      </c>
      <c r="C406" s="176" t="s">
        <v>9</v>
      </c>
      <c r="D406" s="177">
        <v>1.6</v>
      </c>
    </row>
    <row r="407" spans="1:4" s="198" customFormat="1" outlineLevel="2" x14ac:dyDescent="0.25">
      <c r="A407" s="176"/>
      <c r="B407" s="175" t="s">
        <v>94</v>
      </c>
      <c r="C407" s="176" t="s">
        <v>9</v>
      </c>
      <c r="D407" s="177">
        <v>0.6</v>
      </c>
    </row>
    <row r="408" spans="1:4" s="198" customFormat="1" outlineLevel="2" x14ac:dyDescent="0.25">
      <c r="A408" s="176"/>
      <c r="B408" s="175" t="s">
        <v>95</v>
      </c>
      <c r="C408" s="176" t="s">
        <v>9</v>
      </c>
      <c r="D408" s="177">
        <v>2.1</v>
      </c>
    </row>
    <row r="409" spans="1:4" s="198" customFormat="1" outlineLevel="2" x14ac:dyDescent="0.25">
      <c r="A409" s="176"/>
      <c r="B409" s="175" t="s">
        <v>96</v>
      </c>
      <c r="C409" s="176" t="s">
        <v>9</v>
      </c>
      <c r="D409" s="177">
        <v>0.6</v>
      </c>
    </row>
    <row r="410" spans="1:4" s="198" customFormat="1" outlineLevel="2" x14ac:dyDescent="0.25">
      <c r="A410" s="176"/>
      <c r="B410" s="175" t="s">
        <v>97</v>
      </c>
      <c r="C410" s="176" t="s">
        <v>9</v>
      </c>
      <c r="D410" s="177">
        <v>0.2</v>
      </c>
    </row>
    <row r="411" spans="1:4" s="198" customFormat="1" outlineLevel="2" x14ac:dyDescent="0.25">
      <c r="A411" s="176"/>
      <c r="B411" s="175" t="s">
        <v>98</v>
      </c>
      <c r="C411" s="176" t="s">
        <v>9</v>
      </c>
      <c r="D411" s="177">
        <v>3.6</v>
      </c>
    </row>
    <row r="412" spans="1:4" s="198" customFormat="1" outlineLevel="2" x14ac:dyDescent="0.25">
      <c r="A412" s="176"/>
      <c r="B412" s="175" t="s">
        <v>99</v>
      </c>
      <c r="C412" s="176" t="s">
        <v>9</v>
      </c>
      <c r="D412" s="177">
        <v>2.1</v>
      </c>
    </row>
    <row r="413" spans="1:4" s="198" customFormat="1" outlineLevel="2" x14ac:dyDescent="0.25">
      <c r="A413" s="176"/>
      <c r="B413" s="175" t="s">
        <v>100</v>
      </c>
      <c r="C413" s="176" t="s">
        <v>9</v>
      </c>
      <c r="D413" s="177">
        <v>0.9</v>
      </c>
    </row>
    <row r="414" spans="1:4" s="198" customFormat="1" outlineLevel="2" x14ac:dyDescent="0.25">
      <c r="A414" s="176"/>
      <c r="B414" s="175" t="s">
        <v>101</v>
      </c>
      <c r="C414" s="176" t="s">
        <v>9</v>
      </c>
      <c r="D414" s="177">
        <v>0.15</v>
      </c>
    </row>
    <row r="415" spans="1:4" s="197" customFormat="1" outlineLevel="1" x14ac:dyDescent="0.25">
      <c r="A415" s="178" t="s">
        <v>277</v>
      </c>
      <c r="B415" s="181" t="s">
        <v>245</v>
      </c>
      <c r="C415" s="178" t="s">
        <v>11</v>
      </c>
      <c r="D415" s="179">
        <f>D416</f>
        <v>1295</v>
      </c>
    </row>
    <row r="416" spans="1:4" s="197" customFormat="1" outlineLevel="2" x14ac:dyDescent="0.25">
      <c r="A416" s="169"/>
      <c r="B416" s="168" t="s">
        <v>102</v>
      </c>
      <c r="C416" s="169" t="s">
        <v>11</v>
      </c>
      <c r="D416" s="173">
        <v>1295</v>
      </c>
    </row>
    <row r="417" spans="1:4" s="197" customFormat="1" outlineLevel="1" x14ac:dyDescent="0.25">
      <c r="A417" s="178" t="s">
        <v>279</v>
      </c>
      <c r="B417" s="181" t="s">
        <v>248</v>
      </c>
      <c r="C417" s="178" t="s">
        <v>11</v>
      </c>
      <c r="D417" s="179">
        <f>D418</f>
        <v>2633</v>
      </c>
    </row>
    <row r="418" spans="1:4" s="197" customFormat="1" ht="25.5" outlineLevel="2" x14ac:dyDescent="0.25">
      <c r="A418" s="169"/>
      <c r="B418" s="171" t="s">
        <v>506</v>
      </c>
      <c r="C418" s="169" t="s">
        <v>11</v>
      </c>
      <c r="D418" s="173">
        <f>D419</f>
        <v>2633</v>
      </c>
    </row>
    <row r="419" spans="1:4" s="198" customFormat="1" outlineLevel="2" x14ac:dyDescent="0.25">
      <c r="A419" s="169"/>
      <c r="B419" s="168" t="s">
        <v>104</v>
      </c>
      <c r="C419" s="169" t="s">
        <v>11</v>
      </c>
      <c r="D419" s="173">
        <v>2633</v>
      </c>
    </row>
    <row r="420" spans="1:4" s="198" customFormat="1" outlineLevel="2" x14ac:dyDescent="0.25">
      <c r="A420" s="176"/>
      <c r="B420" s="175" t="s">
        <v>499</v>
      </c>
      <c r="C420" s="176" t="s">
        <v>153</v>
      </c>
      <c r="D420" s="177">
        <f>D419*0.37</f>
        <v>974.21</v>
      </c>
    </row>
    <row r="421" spans="1:4" s="88" customFormat="1" x14ac:dyDescent="0.2">
      <c r="A421" s="206" t="s">
        <v>421</v>
      </c>
      <c r="B421" s="207"/>
      <c r="C421" s="39"/>
      <c r="D421" s="21"/>
    </row>
    <row r="422" spans="1:4" s="88" customFormat="1" ht="29.25" customHeight="1" outlineLevel="1" x14ac:dyDescent="0.2">
      <c r="A422" s="148" t="s">
        <v>282</v>
      </c>
      <c r="B422" s="149" t="s">
        <v>473</v>
      </c>
      <c r="C422" s="16" t="s">
        <v>4</v>
      </c>
      <c r="D422" s="43">
        <f>D434</f>
        <v>159.62</v>
      </c>
    </row>
    <row r="423" spans="1:4" s="197" customFormat="1" outlineLevel="2" x14ac:dyDescent="0.25">
      <c r="A423" s="138"/>
      <c r="B423" s="139" t="s">
        <v>36</v>
      </c>
      <c r="C423" s="169" t="s">
        <v>11</v>
      </c>
      <c r="D423" s="170">
        <f>D424</f>
        <v>164.41</v>
      </c>
    </row>
    <row r="424" spans="1:4" s="197" customFormat="1" outlineLevel="2" x14ac:dyDescent="0.25">
      <c r="A424" s="140"/>
      <c r="B424" s="141" t="s">
        <v>326</v>
      </c>
      <c r="C424" s="176" t="s">
        <v>11</v>
      </c>
      <c r="D424" s="170">
        <v>164.41</v>
      </c>
    </row>
    <row r="425" spans="1:4" s="197" customFormat="1" outlineLevel="2" x14ac:dyDescent="0.25">
      <c r="A425" s="138"/>
      <c r="B425" s="142" t="s">
        <v>37</v>
      </c>
      <c r="C425" s="169" t="s">
        <v>9</v>
      </c>
      <c r="D425" s="184">
        <f>D426+D427+D428+D429+D430+D431+D432+D433</f>
        <v>24.015999999999998</v>
      </c>
    </row>
    <row r="426" spans="1:4" s="197" customFormat="1" outlineLevel="2" x14ac:dyDescent="0.25">
      <c r="A426" s="138"/>
      <c r="B426" s="142" t="s">
        <v>38</v>
      </c>
      <c r="C426" s="169" t="s">
        <v>9</v>
      </c>
      <c r="D426" s="184">
        <f>0.578</f>
        <v>0.57799999999999996</v>
      </c>
    </row>
    <row r="427" spans="1:4" s="197" customFormat="1" outlineLevel="2" x14ac:dyDescent="0.25">
      <c r="A427" s="138"/>
      <c r="B427" s="142" t="s">
        <v>65</v>
      </c>
      <c r="C427" s="169" t="s">
        <v>9</v>
      </c>
      <c r="D427" s="184">
        <f>0.143</f>
        <v>0.14299999999999999</v>
      </c>
    </row>
    <row r="428" spans="1:4" s="197" customFormat="1" outlineLevel="2" x14ac:dyDescent="0.25">
      <c r="A428" s="138"/>
      <c r="B428" s="142" t="s">
        <v>106</v>
      </c>
      <c r="C428" s="169" t="s">
        <v>9</v>
      </c>
      <c r="D428" s="184">
        <f>0.684</f>
        <v>0.68400000000000005</v>
      </c>
    </row>
    <row r="429" spans="1:4" s="197" customFormat="1" outlineLevel="2" x14ac:dyDescent="0.25">
      <c r="A429" s="138"/>
      <c r="B429" s="142" t="s">
        <v>39</v>
      </c>
      <c r="C429" s="169" t="s">
        <v>9</v>
      </c>
      <c r="D429" s="184">
        <v>13.212</v>
      </c>
    </row>
    <row r="430" spans="1:4" s="197" customFormat="1" outlineLevel="2" x14ac:dyDescent="0.25">
      <c r="A430" s="138"/>
      <c r="B430" s="142" t="s">
        <v>52</v>
      </c>
      <c r="C430" s="169" t="s">
        <v>9</v>
      </c>
      <c r="D430" s="184">
        <v>5.3120000000000003</v>
      </c>
    </row>
    <row r="431" spans="1:4" s="197" customFormat="1" outlineLevel="2" x14ac:dyDescent="0.25">
      <c r="A431" s="138"/>
      <c r="B431" s="142" t="s">
        <v>40</v>
      </c>
      <c r="C431" s="169" t="s">
        <v>9</v>
      </c>
      <c r="D431" s="184">
        <v>0.187</v>
      </c>
    </row>
    <row r="432" spans="1:4" s="197" customFormat="1" outlineLevel="2" x14ac:dyDescent="0.25">
      <c r="A432" s="138"/>
      <c r="B432" s="142" t="s">
        <v>41</v>
      </c>
      <c r="C432" s="169" t="s">
        <v>9</v>
      </c>
      <c r="D432" s="184">
        <v>1.333</v>
      </c>
    </row>
    <row r="433" spans="1:4" s="197" customFormat="1" outlineLevel="2" x14ac:dyDescent="0.25">
      <c r="A433" s="138"/>
      <c r="B433" s="142" t="s">
        <v>64</v>
      </c>
      <c r="C433" s="169" t="s">
        <v>9</v>
      </c>
      <c r="D433" s="184">
        <v>2.5670000000000002</v>
      </c>
    </row>
    <row r="434" spans="1:4" s="197" customFormat="1" ht="30.75" customHeight="1" outlineLevel="2" x14ac:dyDescent="0.25">
      <c r="A434" s="138"/>
      <c r="B434" s="143" t="s">
        <v>303</v>
      </c>
      <c r="C434" s="169" t="s">
        <v>4</v>
      </c>
      <c r="D434" s="173">
        <v>159.62</v>
      </c>
    </row>
    <row r="435" spans="1:4" s="197" customFormat="1" ht="18" customHeight="1" outlineLevel="2" x14ac:dyDescent="0.25">
      <c r="A435" s="138"/>
      <c r="B435" s="142" t="s">
        <v>202</v>
      </c>
      <c r="C435" s="169" t="s">
        <v>4</v>
      </c>
      <c r="D435" s="173">
        <f>D434*1.02</f>
        <v>162.8124</v>
      </c>
    </row>
    <row r="436" spans="1:4" s="197" customFormat="1" ht="28.5" customHeight="1" outlineLevel="1" x14ac:dyDescent="0.25">
      <c r="A436" s="144" t="s">
        <v>285</v>
      </c>
      <c r="B436" s="145" t="s">
        <v>492</v>
      </c>
      <c r="C436" s="178" t="s">
        <v>11</v>
      </c>
      <c r="D436" s="179">
        <v>355</v>
      </c>
    </row>
    <row r="437" spans="1:4" s="197" customFormat="1" outlineLevel="2" x14ac:dyDescent="0.25">
      <c r="A437" s="138"/>
      <c r="B437" s="142" t="s">
        <v>42</v>
      </c>
      <c r="C437" s="169" t="s">
        <v>11</v>
      </c>
      <c r="D437" s="173">
        <v>355</v>
      </c>
    </row>
    <row r="438" spans="1:4" s="197" customFormat="1" outlineLevel="2" x14ac:dyDescent="0.25">
      <c r="A438" s="140"/>
      <c r="B438" s="141" t="s">
        <v>325</v>
      </c>
      <c r="C438" s="176" t="s">
        <v>9</v>
      </c>
      <c r="D438" s="59">
        <v>5.7000000000000002E-2</v>
      </c>
    </row>
    <row r="439" spans="1:4" s="197" customFormat="1" outlineLevel="2" x14ac:dyDescent="0.25">
      <c r="A439" s="140"/>
      <c r="B439" s="141" t="s">
        <v>317</v>
      </c>
      <c r="C439" s="176" t="s">
        <v>153</v>
      </c>
      <c r="D439" s="173">
        <v>1562</v>
      </c>
    </row>
    <row r="440" spans="1:4" s="197" customFormat="1" outlineLevel="2" x14ac:dyDescent="0.25">
      <c r="A440" s="140"/>
      <c r="B440" s="141" t="s">
        <v>314</v>
      </c>
      <c r="C440" s="176" t="s">
        <v>11</v>
      </c>
      <c r="D440" s="173">
        <v>816.5</v>
      </c>
    </row>
    <row r="441" spans="1:4" s="197" customFormat="1" outlineLevel="2" x14ac:dyDescent="0.25">
      <c r="A441" s="138"/>
      <c r="B441" s="142" t="s">
        <v>43</v>
      </c>
      <c r="C441" s="169" t="s">
        <v>11</v>
      </c>
      <c r="D441" s="173">
        <v>355</v>
      </c>
    </row>
    <row r="442" spans="1:4" s="197" customFormat="1" outlineLevel="2" x14ac:dyDescent="0.25">
      <c r="A442" s="138"/>
      <c r="B442" s="142" t="s">
        <v>329</v>
      </c>
      <c r="C442" s="169" t="s">
        <v>4</v>
      </c>
      <c r="D442" s="173">
        <v>35.5</v>
      </c>
    </row>
    <row r="443" spans="1:4" s="197" customFormat="1" ht="30" customHeight="1" outlineLevel="2" x14ac:dyDescent="0.25">
      <c r="A443" s="144" t="s">
        <v>286</v>
      </c>
      <c r="B443" s="145" t="s">
        <v>44</v>
      </c>
      <c r="C443" s="169" t="s">
        <v>11</v>
      </c>
      <c r="D443" s="173">
        <v>355</v>
      </c>
    </row>
    <row r="444" spans="1:4" s="197" customFormat="1" outlineLevel="2" x14ac:dyDescent="0.25">
      <c r="A444" s="138"/>
      <c r="B444" s="142" t="s">
        <v>330</v>
      </c>
      <c r="C444" s="169" t="s">
        <v>4</v>
      </c>
      <c r="D444" s="173">
        <v>8.1649999999999991</v>
      </c>
    </row>
    <row r="445" spans="1:4" s="197" customFormat="1" outlineLevel="2" x14ac:dyDescent="0.25">
      <c r="A445" s="138"/>
      <c r="B445" s="142" t="s">
        <v>331</v>
      </c>
      <c r="C445" s="169" t="s">
        <v>332</v>
      </c>
      <c r="D445" s="173">
        <v>17.75</v>
      </c>
    </row>
    <row r="446" spans="1:4" s="197" customFormat="1" ht="25.5" outlineLevel="1" x14ac:dyDescent="0.25">
      <c r="A446" s="144" t="s">
        <v>289</v>
      </c>
      <c r="B446" s="145" t="s">
        <v>474</v>
      </c>
      <c r="C446" s="178" t="s">
        <v>4</v>
      </c>
      <c r="D446" s="179">
        <f>D453</f>
        <v>49.78</v>
      </c>
    </row>
    <row r="447" spans="1:4" s="197" customFormat="1" outlineLevel="2" x14ac:dyDescent="0.25">
      <c r="A447" s="138"/>
      <c r="B447" s="142" t="s">
        <v>45</v>
      </c>
      <c r="C447" s="169" t="s">
        <v>11</v>
      </c>
      <c r="D447" s="170">
        <f>D448</f>
        <v>67.2</v>
      </c>
    </row>
    <row r="448" spans="1:4" s="197" customFormat="1" outlineLevel="2" x14ac:dyDescent="0.25">
      <c r="A448" s="140"/>
      <c r="B448" s="141" t="s">
        <v>326</v>
      </c>
      <c r="C448" s="176" t="s">
        <v>11</v>
      </c>
      <c r="D448" s="170">
        <v>67.2</v>
      </c>
    </row>
    <row r="449" spans="1:4" s="197" customFormat="1" outlineLevel="2" x14ac:dyDescent="0.25">
      <c r="A449" s="138"/>
      <c r="B449" s="142" t="s">
        <v>46</v>
      </c>
      <c r="C449" s="169" t="s">
        <v>9</v>
      </c>
      <c r="D449" s="173">
        <f>D450+D451+D452</f>
        <v>1.417</v>
      </c>
    </row>
    <row r="450" spans="1:4" s="197" customFormat="1" outlineLevel="2" x14ac:dyDescent="0.25">
      <c r="A450" s="138"/>
      <c r="B450" s="142" t="s">
        <v>64</v>
      </c>
      <c r="C450" s="169" t="s">
        <v>9</v>
      </c>
      <c r="D450" s="173">
        <v>0.8</v>
      </c>
    </row>
    <row r="451" spans="1:4" s="197" customFormat="1" outlineLevel="2" x14ac:dyDescent="0.25">
      <c r="A451" s="138"/>
      <c r="B451" s="142" t="s">
        <v>41</v>
      </c>
      <c r="C451" s="169" t="s">
        <v>9</v>
      </c>
      <c r="D451" s="173">
        <v>0.41699999999999998</v>
      </c>
    </row>
    <row r="452" spans="1:4" s="197" customFormat="1" outlineLevel="2" x14ac:dyDescent="0.25">
      <c r="A452" s="138"/>
      <c r="B452" s="142" t="s">
        <v>38</v>
      </c>
      <c r="C452" s="169" t="s">
        <v>9</v>
      </c>
      <c r="D452" s="173">
        <v>0.2</v>
      </c>
    </row>
    <row r="453" spans="1:4" s="197" customFormat="1" outlineLevel="2" x14ac:dyDescent="0.25">
      <c r="A453" s="138"/>
      <c r="B453" s="142" t="s">
        <v>47</v>
      </c>
      <c r="C453" s="169" t="s">
        <v>4</v>
      </c>
      <c r="D453" s="173">
        <v>49.78</v>
      </c>
    </row>
    <row r="454" spans="1:4" s="197" customFormat="1" outlineLevel="2" x14ac:dyDescent="0.25">
      <c r="A454" s="138"/>
      <c r="B454" s="142" t="s">
        <v>333</v>
      </c>
      <c r="C454" s="169" t="s">
        <v>4</v>
      </c>
      <c r="D454" s="173">
        <f>D453*1.02</f>
        <v>50.775600000000004</v>
      </c>
    </row>
    <row r="455" spans="1:4" s="197" customFormat="1" ht="25.5" customHeight="1" outlineLevel="1" x14ac:dyDescent="0.25">
      <c r="A455" s="144" t="s">
        <v>292</v>
      </c>
      <c r="B455" s="145" t="s">
        <v>475</v>
      </c>
      <c r="C455" s="178" t="s">
        <v>4</v>
      </c>
      <c r="D455" s="179">
        <f>D467</f>
        <v>313</v>
      </c>
    </row>
    <row r="456" spans="1:4" s="197" customFormat="1" outlineLevel="2" x14ac:dyDescent="0.25">
      <c r="A456" s="138"/>
      <c r="B456" s="142" t="s">
        <v>50</v>
      </c>
      <c r="C456" s="169" t="s">
        <v>11</v>
      </c>
      <c r="D456" s="170">
        <f>D457</f>
        <v>164.64</v>
      </c>
    </row>
    <row r="457" spans="1:4" s="197" customFormat="1" outlineLevel="2" x14ac:dyDescent="0.25">
      <c r="A457" s="140"/>
      <c r="B457" s="141" t="s">
        <v>326</v>
      </c>
      <c r="C457" s="176" t="s">
        <v>11</v>
      </c>
      <c r="D457" s="170">
        <v>164.64</v>
      </c>
    </row>
    <row r="458" spans="1:4" s="197" customFormat="1" outlineLevel="2" x14ac:dyDescent="0.25">
      <c r="A458" s="140"/>
      <c r="B458" s="141" t="s">
        <v>335</v>
      </c>
      <c r="C458" s="176" t="s">
        <v>135</v>
      </c>
      <c r="D458" s="170">
        <v>7.2</v>
      </c>
    </row>
    <row r="459" spans="1:4" s="197" customFormat="1" outlineLevel="2" x14ac:dyDescent="0.25">
      <c r="A459" s="138"/>
      <c r="B459" s="142" t="s">
        <v>51</v>
      </c>
      <c r="C459" s="169" t="s">
        <v>9</v>
      </c>
      <c r="D459" s="180">
        <f>D461+D462+D463+D464+D465+D466+D460</f>
        <v>41.725999999999999</v>
      </c>
    </row>
    <row r="460" spans="1:4" s="197" customFormat="1" outlineLevel="2" x14ac:dyDescent="0.25">
      <c r="A460" s="138"/>
      <c r="B460" s="142" t="s">
        <v>334</v>
      </c>
      <c r="C460" s="169" t="s">
        <v>9</v>
      </c>
      <c r="D460" s="180">
        <v>0.751</v>
      </c>
    </row>
    <row r="461" spans="1:4" s="197" customFormat="1" outlineLevel="2" x14ac:dyDescent="0.25">
      <c r="A461" s="138"/>
      <c r="B461" s="142" t="s">
        <v>52</v>
      </c>
      <c r="C461" s="169" t="s">
        <v>9</v>
      </c>
      <c r="D461" s="173">
        <v>21.34</v>
      </c>
    </row>
    <row r="462" spans="1:4" s="197" customFormat="1" outlineLevel="2" x14ac:dyDescent="0.25">
      <c r="A462" s="138"/>
      <c r="B462" s="142" t="s">
        <v>53</v>
      </c>
      <c r="C462" s="169" t="s">
        <v>9</v>
      </c>
      <c r="D462" s="173">
        <v>5.12</v>
      </c>
    </row>
    <row r="463" spans="1:4" s="197" customFormat="1" outlineLevel="2" x14ac:dyDescent="0.25">
      <c r="A463" s="138"/>
      <c r="B463" s="142" t="s">
        <v>41</v>
      </c>
      <c r="C463" s="169" t="s">
        <v>9</v>
      </c>
      <c r="D463" s="173">
        <v>8.59</v>
      </c>
    </row>
    <row r="464" spans="1:4" s="197" customFormat="1" outlineLevel="2" x14ac:dyDescent="0.25">
      <c r="A464" s="138"/>
      <c r="B464" s="142" t="s">
        <v>39</v>
      </c>
      <c r="C464" s="169" t="s">
        <v>9</v>
      </c>
      <c r="D464" s="173">
        <v>3.4649999999999999</v>
      </c>
    </row>
    <row r="465" spans="1:4" s="197" customFormat="1" outlineLevel="2" x14ac:dyDescent="0.25">
      <c r="A465" s="138"/>
      <c r="B465" s="142" t="s">
        <v>106</v>
      </c>
      <c r="C465" s="169" t="s">
        <v>9</v>
      </c>
      <c r="D465" s="173">
        <v>1.36</v>
      </c>
    </row>
    <row r="466" spans="1:4" s="197" customFormat="1" outlineLevel="2" x14ac:dyDescent="0.25">
      <c r="A466" s="138"/>
      <c r="B466" s="142" t="s">
        <v>65</v>
      </c>
      <c r="C466" s="169" t="s">
        <v>9</v>
      </c>
      <c r="D466" s="173">
        <v>1.1000000000000001</v>
      </c>
    </row>
    <row r="467" spans="1:4" s="197" customFormat="1" outlineLevel="2" x14ac:dyDescent="0.25">
      <c r="A467" s="138"/>
      <c r="B467" s="142" t="s">
        <v>54</v>
      </c>
      <c r="C467" s="169" t="s">
        <v>4</v>
      </c>
      <c r="D467" s="173">
        <v>313</v>
      </c>
    </row>
    <row r="468" spans="1:4" s="197" customFormat="1" outlineLevel="2" x14ac:dyDescent="0.25">
      <c r="A468" s="138"/>
      <c r="B468" s="142" t="s">
        <v>333</v>
      </c>
      <c r="C468" s="169" t="s">
        <v>4</v>
      </c>
      <c r="D468" s="173">
        <f>D467*1.015</f>
        <v>317.69499999999999</v>
      </c>
    </row>
    <row r="469" spans="1:4" s="197" customFormat="1" outlineLevel="1" x14ac:dyDescent="0.25">
      <c r="A469" s="144" t="s">
        <v>339</v>
      </c>
      <c r="B469" s="147" t="s">
        <v>504</v>
      </c>
      <c r="C469" s="178" t="s">
        <v>4</v>
      </c>
      <c r="D469" s="179">
        <f>D477</f>
        <v>10.65</v>
      </c>
    </row>
    <row r="470" spans="1:4" s="197" customFormat="1" outlineLevel="2" x14ac:dyDescent="0.25">
      <c r="A470" s="138"/>
      <c r="B470" s="142" t="s">
        <v>55</v>
      </c>
      <c r="C470" s="169" t="s">
        <v>11</v>
      </c>
      <c r="D470" s="173">
        <f>D471</f>
        <v>15.36</v>
      </c>
    </row>
    <row r="471" spans="1:4" s="197" customFormat="1" outlineLevel="2" x14ac:dyDescent="0.25">
      <c r="A471" s="140"/>
      <c r="B471" s="141" t="s">
        <v>326</v>
      </c>
      <c r="C471" s="176" t="s">
        <v>11</v>
      </c>
      <c r="D471" s="173">
        <v>15.36</v>
      </c>
    </row>
    <row r="472" spans="1:4" s="197" customFormat="1" outlineLevel="2" x14ac:dyDescent="0.25">
      <c r="A472" s="140"/>
      <c r="B472" s="141" t="s">
        <v>335</v>
      </c>
      <c r="C472" s="176" t="s">
        <v>135</v>
      </c>
      <c r="D472" s="173">
        <v>0.52</v>
      </c>
    </row>
    <row r="473" spans="1:4" s="197" customFormat="1" outlineLevel="2" x14ac:dyDescent="0.25">
      <c r="A473" s="138"/>
      <c r="B473" s="142" t="s">
        <v>56</v>
      </c>
      <c r="C473" s="169" t="s">
        <v>9</v>
      </c>
      <c r="D473" s="184">
        <f>D475+D476+D474</f>
        <v>0.39100000000000001</v>
      </c>
    </row>
    <row r="474" spans="1:4" s="197" customFormat="1" outlineLevel="2" x14ac:dyDescent="0.25">
      <c r="A474" s="138"/>
      <c r="B474" s="142" t="s">
        <v>334</v>
      </c>
      <c r="C474" s="169" t="s">
        <v>9</v>
      </c>
      <c r="D474" s="184">
        <v>7.0000000000000007E-2</v>
      </c>
    </row>
    <row r="475" spans="1:4" s="197" customFormat="1" outlineLevel="2" x14ac:dyDescent="0.25">
      <c r="A475" s="138"/>
      <c r="B475" s="142" t="s">
        <v>39</v>
      </c>
      <c r="C475" s="169" t="s">
        <v>9</v>
      </c>
      <c r="D475" s="173">
        <v>0.221</v>
      </c>
    </row>
    <row r="476" spans="1:4" s="197" customFormat="1" outlineLevel="2" x14ac:dyDescent="0.25">
      <c r="A476" s="138"/>
      <c r="B476" s="142" t="s">
        <v>38</v>
      </c>
      <c r="C476" s="169" t="s">
        <v>9</v>
      </c>
      <c r="D476" s="173">
        <v>0.1</v>
      </c>
    </row>
    <row r="477" spans="1:4" s="197" customFormat="1" outlineLevel="2" x14ac:dyDescent="0.25">
      <c r="A477" s="138"/>
      <c r="B477" s="142" t="s">
        <v>57</v>
      </c>
      <c r="C477" s="169" t="s">
        <v>4</v>
      </c>
      <c r="D477" s="173">
        <v>10.65</v>
      </c>
    </row>
    <row r="478" spans="1:4" s="197" customFormat="1" outlineLevel="2" x14ac:dyDescent="0.25">
      <c r="A478" s="138"/>
      <c r="B478" s="142" t="s">
        <v>333</v>
      </c>
      <c r="C478" s="169" t="s">
        <v>4</v>
      </c>
      <c r="D478" s="173">
        <f>D477*1.02</f>
        <v>10.863000000000001</v>
      </c>
    </row>
    <row r="479" spans="1:4" s="197" customFormat="1" x14ac:dyDescent="0.25">
      <c r="A479" s="208" t="s">
        <v>457</v>
      </c>
      <c r="B479" s="209"/>
      <c r="C479" s="169"/>
      <c r="D479" s="173"/>
    </row>
    <row r="480" spans="1:4" s="88" customFormat="1" outlineLevel="1" x14ac:dyDescent="0.2">
      <c r="A480" s="16" t="s">
        <v>294</v>
      </c>
      <c r="B480" s="21" t="s">
        <v>476</v>
      </c>
      <c r="C480" s="16" t="s">
        <v>4</v>
      </c>
      <c r="D480" s="43">
        <f>D488</f>
        <v>250.57999999999998</v>
      </c>
    </row>
    <row r="481" spans="1:4" s="197" customFormat="1" outlineLevel="2" x14ac:dyDescent="0.25">
      <c r="A481" s="169"/>
      <c r="B481" s="168" t="s">
        <v>105</v>
      </c>
      <c r="C481" s="169" t="s">
        <v>9</v>
      </c>
      <c r="D481" s="173">
        <f>D482+D483+D484+D485+D486+D487</f>
        <v>27.739000000000001</v>
      </c>
    </row>
    <row r="482" spans="1:4" s="197" customFormat="1" outlineLevel="2" x14ac:dyDescent="0.25">
      <c r="A482" s="169"/>
      <c r="B482" s="168" t="s">
        <v>38</v>
      </c>
      <c r="C482" s="169" t="s">
        <v>9</v>
      </c>
      <c r="D482" s="170">
        <f>2.1-0.578</f>
        <v>1.5220000000000002</v>
      </c>
    </row>
    <row r="483" spans="1:4" s="197" customFormat="1" outlineLevel="2" x14ac:dyDescent="0.25">
      <c r="A483" s="169"/>
      <c r="B483" s="168" t="s">
        <v>106</v>
      </c>
      <c r="C483" s="169" t="s">
        <v>9</v>
      </c>
      <c r="D483" s="170">
        <f>10.8-0.684</f>
        <v>10.116000000000001</v>
      </c>
    </row>
    <row r="484" spans="1:4" s="197" customFormat="1" outlineLevel="2" x14ac:dyDescent="0.25">
      <c r="A484" s="138"/>
      <c r="B484" s="142" t="s">
        <v>39</v>
      </c>
      <c r="C484" s="138" t="s">
        <v>9</v>
      </c>
      <c r="D484" s="170">
        <f>22.2-13.212</f>
        <v>8.9879999999999995</v>
      </c>
    </row>
    <row r="485" spans="1:4" s="197" customFormat="1" outlineLevel="2" x14ac:dyDescent="0.25">
      <c r="A485" s="138"/>
      <c r="B485" s="142" t="s">
        <v>40</v>
      </c>
      <c r="C485" s="138" t="s">
        <v>9</v>
      </c>
      <c r="D485" s="170">
        <f>4.4-0.187</f>
        <v>4.2130000000000001</v>
      </c>
    </row>
    <row r="486" spans="1:4" s="197" customFormat="1" outlineLevel="2" x14ac:dyDescent="0.25">
      <c r="A486" s="138"/>
      <c r="B486" s="142" t="s">
        <v>41</v>
      </c>
      <c r="C486" s="138" t="s">
        <v>9</v>
      </c>
      <c r="D486" s="170">
        <f>2.3-1.333</f>
        <v>0.96699999999999986</v>
      </c>
    </row>
    <row r="487" spans="1:4" s="197" customFormat="1" outlineLevel="2" x14ac:dyDescent="0.25">
      <c r="A487" s="138"/>
      <c r="B487" s="142" t="s">
        <v>64</v>
      </c>
      <c r="C487" s="138" t="s">
        <v>9</v>
      </c>
      <c r="D487" s="170">
        <f>4.5-2.567</f>
        <v>1.9329999999999998</v>
      </c>
    </row>
    <row r="488" spans="1:4" s="197" customFormat="1" outlineLevel="2" x14ac:dyDescent="0.25">
      <c r="A488" s="138"/>
      <c r="B488" s="142" t="s">
        <v>252</v>
      </c>
      <c r="C488" s="138" t="s">
        <v>4</v>
      </c>
      <c r="D488" s="170">
        <f>410.2-159.62</f>
        <v>250.57999999999998</v>
      </c>
    </row>
    <row r="489" spans="1:4" s="197" customFormat="1" outlineLevel="2" x14ac:dyDescent="0.25">
      <c r="A489" s="138"/>
      <c r="B489" s="142" t="s">
        <v>319</v>
      </c>
      <c r="C489" s="138" t="s">
        <v>4</v>
      </c>
      <c r="D489" s="170">
        <f>D488*1.015</f>
        <v>254.33869999999996</v>
      </c>
    </row>
    <row r="490" spans="1:4" s="197" customFormat="1" outlineLevel="2" x14ac:dyDescent="0.25">
      <c r="A490" s="140"/>
      <c r="B490" s="141" t="s">
        <v>326</v>
      </c>
      <c r="C490" s="140" t="s">
        <v>11</v>
      </c>
      <c r="D490" s="150">
        <v>368.35</v>
      </c>
    </row>
    <row r="491" spans="1:4" s="197" customFormat="1" ht="25.5" outlineLevel="1" x14ac:dyDescent="0.25">
      <c r="A491" s="144" t="s">
        <v>295</v>
      </c>
      <c r="B491" s="145" t="s">
        <v>257</v>
      </c>
      <c r="C491" s="144" t="s">
        <v>4</v>
      </c>
      <c r="D491" s="61">
        <f>D504+D499</f>
        <v>122.69999999999999</v>
      </c>
    </row>
    <row r="492" spans="1:4" s="197" customFormat="1" outlineLevel="2" x14ac:dyDescent="0.25">
      <c r="A492" s="138"/>
      <c r="B492" s="142" t="s">
        <v>45</v>
      </c>
      <c r="C492" s="138" t="s">
        <v>11</v>
      </c>
      <c r="D492" s="150">
        <f>D493</f>
        <v>165.64999999999998</v>
      </c>
    </row>
    <row r="493" spans="1:4" s="197" customFormat="1" outlineLevel="2" x14ac:dyDescent="0.25">
      <c r="A493" s="140"/>
      <c r="B493" s="141" t="s">
        <v>326</v>
      </c>
      <c r="C493" s="140" t="s">
        <v>11</v>
      </c>
      <c r="D493" s="150">
        <f>88.16+77.49</f>
        <v>165.64999999999998</v>
      </c>
    </row>
    <row r="494" spans="1:4" s="197" customFormat="1" outlineLevel="2" x14ac:dyDescent="0.25">
      <c r="A494" s="138"/>
      <c r="B494" s="142" t="s">
        <v>68</v>
      </c>
      <c r="C494" s="138" t="s">
        <v>9</v>
      </c>
      <c r="D494" s="170">
        <f>D495+D496+D497+D498</f>
        <v>17.400000000000002</v>
      </c>
    </row>
    <row r="495" spans="1:4" s="197" customFormat="1" outlineLevel="2" x14ac:dyDescent="0.25">
      <c r="A495" s="169"/>
      <c r="B495" s="168" t="s">
        <v>40</v>
      </c>
      <c r="C495" s="169" t="s">
        <v>9</v>
      </c>
      <c r="D495" s="170">
        <v>1.9</v>
      </c>
    </row>
    <row r="496" spans="1:4" s="197" customFormat="1" outlineLevel="2" x14ac:dyDescent="0.25">
      <c r="A496" s="169"/>
      <c r="B496" s="168" t="s">
        <v>107</v>
      </c>
      <c r="C496" s="169" t="s">
        <v>9</v>
      </c>
      <c r="D496" s="170">
        <v>6.3</v>
      </c>
    </row>
    <row r="497" spans="1:4" s="197" customFormat="1" outlineLevel="2" x14ac:dyDescent="0.25">
      <c r="A497" s="169"/>
      <c r="B497" s="168" t="s">
        <v>64</v>
      </c>
      <c r="C497" s="169" t="s">
        <v>9</v>
      </c>
      <c r="D497" s="170">
        <v>7.9</v>
      </c>
    </row>
    <row r="498" spans="1:4" s="197" customFormat="1" outlineLevel="2" x14ac:dyDescent="0.25">
      <c r="A498" s="169"/>
      <c r="B498" s="168" t="s">
        <v>65</v>
      </c>
      <c r="C498" s="169" t="s">
        <v>9</v>
      </c>
      <c r="D498" s="170">
        <v>1.3</v>
      </c>
    </row>
    <row r="499" spans="1:4" s="197" customFormat="1" outlineLevel="2" x14ac:dyDescent="0.25">
      <c r="A499" s="169"/>
      <c r="B499" s="168" t="s">
        <v>72</v>
      </c>
      <c r="C499" s="169" t="s">
        <v>4</v>
      </c>
      <c r="D499" s="170">
        <v>65.3</v>
      </c>
    </row>
    <row r="500" spans="1:4" s="197" customFormat="1" outlineLevel="2" x14ac:dyDescent="0.25">
      <c r="A500" s="169"/>
      <c r="B500" s="168" t="s">
        <v>333</v>
      </c>
      <c r="C500" s="169" t="s">
        <v>4</v>
      </c>
      <c r="D500" s="170">
        <f>D499*1.015</f>
        <v>66.279499999999985</v>
      </c>
    </row>
    <row r="501" spans="1:4" s="197" customFormat="1" outlineLevel="2" x14ac:dyDescent="0.25">
      <c r="A501" s="169"/>
      <c r="B501" s="168" t="s">
        <v>71</v>
      </c>
      <c r="C501" s="169" t="s">
        <v>9</v>
      </c>
      <c r="D501" s="170">
        <f>D502+D503</f>
        <v>10.9</v>
      </c>
    </row>
    <row r="502" spans="1:4" s="197" customFormat="1" outlineLevel="2" x14ac:dyDescent="0.25">
      <c r="A502" s="169"/>
      <c r="B502" s="168" t="s">
        <v>64</v>
      </c>
      <c r="C502" s="169" t="s">
        <v>9</v>
      </c>
      <c r="D502" s="170">
        <v>10.3</v>
      </c>
    </row>
    <row r="503" spans="1:4" s="197" customFormat="1" outlineLevel="2" x14ac:dyDescent="0.25">
      <c r="A503" s="169"/>
      <c r="B503" s="168" t="s">
        <v>65</v>
      </c>
      <c r="C503" s="169" t="s">
        <v>9</v>
      </c>
      <c r="D503" s="170">
        <v>0.6</v>
      </c>
    </row>
    <row r="504" spans="1:4" s="197" customFormat="1" outlineLevel="2" x14ac:dyDescent="0.25">
      <c r="A504" s="169"/>
      <c r="B504" s="168" t="s">
        <v>72</v>
      </c>
      <c r="C504" s="169" t="s">
        <v>4</v>
      </c>
      <c r="D504" s="170">
        <v>57.4</v>
      </c>
    </row>
    <row r="505" spans="1:4" s="197" customFormat="1" outlineLevel="2" x14ac:dyDescent="0.25">
      <c r="A505" s="169"/>
      <c r="B505" s="168" t="s">
        <v>333</v>
      </c>
      <c r="C505" s="169" t="s">
        <v>4</v>
      </c>
      <c r="D505" s="170">
        <f>D504*1.015</f>
        <v>58.260999999999996</v>
      </c>
    </row>
    <row r="506" spans="1:4" s="197" customFormat="1" ht="21" customHeight="1" outlineLevel="1" x14ac:dyDescent="0.25">
      <c r="A506" s="144" t="s">
        <v>296</v>
      </c>
      <c r="B506" s="147" t="s">
        <v>477</v>
      </c>
      <c r="C506" s="144" t="s">
        <v>4</v>
      </c>
      <c r="D506" s="61">
        <f>D516</f>
        <v>482</v>
      </c>
    </row>
    <row r="507" spans="1:4" s="197" customFormat="1" outlineLevel="2" x14ac:dyDescent="0.25">
      <c r="A507" s="138"/>
      <c r="B507" s="142" t="s">
        <v>50</v>
      </c>
      <c r="C507" s="138" t="s">
        <v>11</v>
      </c>
      <c r="D507" s="170">
        <f>D508</f>
        <v>253.53</v>
      </c>
    </row>
    <row r="508" spans="1:4" s="197" customFormat="1" outlineLevel="2" x14ac:dyDescent="0.25">
      <c r="A508" s="140"/>
      <c r="B508" s="141" t="s">
        <v>326</v>
      </c>
      <c r="C508" s="140" t="s">
        <v>11</v>
      </c>
      <c r="D508" s="170">
        <v>253.53</v>
      </c>
    </row>
    <row r="509" spans="1:4" s="197" customFormat="1" outlineLevel="2" x14ac:dyDescent="0.25">
      <c r="A509" s="140"/>
      <c r="B509" s="141" t="s">
        <v>335</v>
      </c>
      <c r="C509" s="176" t="s">
        <v>135</v>
      </c>
      <c r="D509" s="170">
        <v>11.09</v>
      </c>
    </row>
    <row r="510" spans="1:4" s="197" customFormat="1" outlineLevel="2" x14ac:dyDescent="0.25">
      <c r="A510" s="138"/>
      <c r="B510" s="142" t="s">
        <v>51</v>
      </c>
      <c r="C510" s="138" t="s">
        <v>9</v>
      </c>
      <c r="D510" s="170">
        <f>D512+D513+D514+D515+D511</f>
        <v>130.267</v>
      </c>
    </row>
    <row r="511" spans="1:4" s="197" customFormat="1" outlineLevel="2" x14ac:dyDescent="0.25">
      <c r="A511" s="138"/>
      <c r="B511" s="142" t="s">
        <v>337</v>
      </c>
      <c r="C511" s="169" t="s">
        <v>9</v>
      </c>
      <c r="D511" s="180">
        <v>1.157</v>
      </c>
    </row>
    <row r="512" spans="1:4" s="197" customFormat="1" outlineLevel="2" x14ac:dyDescent="0.25">
      <c r="A512" s="138"/>
      <c r="B512" s="142" t="s">
        <v>52</v>
      </c>
      <c r="C512" s="138" t="s">
        <v>9</v>
      </c>
      <c r="D512" s="170">
        <f>93.5-27.18</f>
        <v>66.319999999999993</v>
      </c>
    </row>
    <row r="513" spans="1:4" s="197" customFormat="1" outlineLevel="2" x14ac:dyDescent="0.25">
      <c r="A513" s="138"/>
      <c r="B513" s="142" t="s">
        <v>53</v>
      </c>
      <c r="C513" s="138" t="s">
        <v>9</v>
      </c>
      <c r="D513" s="170">
        <f>27.2-5.12</f>
        <v>22.08</v>
      </c>
    </row>
    <row r="514" spans="1:4" s="197" customFormat="1" outlineLevel="2" x14ac:dyDescent="0.25">
      <c r="A514" s="138"/>
      <c r="B514" s="142" t="s">
        <v>41</v>
      </c>
      <c r="C514" s="138" t="s">
        <v>9</v>
      </c>
      <c r="D514" s="170">
        <f>40.8-8.59</f>
        <v>32.209999999999994</v>
      </c>
    </row>
    <row r="515" spans="1:4" s="197" customFormat="1" outlineLevel="2" x14ac:dyDescent="0.25">
      <c r="A515" s="138"/>
      <c r="B515" s="142" t="s">
        <v>38</v>
      </c>
      <c r="C515" s="138" t="s">
        <v>9</v>
      </c>
      <c r="D515" s="170">
        <f>8.5</f>
        <v>8.5</v>
      </c>
    </row>
    <row r="516" spans="1:4" s="197" customFormat="1" outlineLevel="2" x14ac:dyDescent="0.25">
      <c r="A516" s="138"/>
      <c r="B516" s="142" t="s">
        <v>54</v>
      </c>
      <c r="C516" s="138" t="s">
        <v>4</v>
      </c>
      <c r="D516" s="170">
        <f>795-313</f>
        <v>482</v>
      </c>
    </row>
    <row r="517" spans="1:4" s="197" customFormat="1" outlineLevel="2" x14ac:dyDescent="0.25">
      <c r="A517" s="138"/>
      <c r="B517" s="142" t="s">
        <v>333</v>
      </c>
      <c r="C517" s="138" t="s">
        <v>4</v>
      </c>
      <c r="D517" s="170">
        <f>D516*1.015</f>
        <v>489.22999999999996</v>
      </c>
    </row>
    <row r="518" spans="1:4" s="197" customFormat="1" ht="18" customHeight="1" outlineLevel="1" x14ac:dyDescent="0.25">
      <c r="A518" s="144" t="s">
        <v>297</v>
      </c>
      <c r="B518" s="147" t="s">
        <v>478</v>
      </c>
      <c r="C518" s="144" t="s">
        <v>4</v>
      </c>
      <c r="D518" s="61">
        <f>D524</f>
        <v>37.950000000000003</v>
      </c>
    </row>
    <row r="519" spans="1:4" s="197" customFormat="1" outlineLevel="2" x14ac:dyDescent="0.25">
      <c r="A519" s="138"/>
      <c r="B519" s="142" t="s">
        <v>55</v>
      </c>
      <c r="C519" s="138" t="s">
        <v>11</v>
      </c>
      <c r="D519" s="150">
        <f>D520</f>
        <v>54.72</v>
      </c>
    </row>
    <row r="520" spans="1:4" s="197" customFormat="1" outlineLevel="2" x14ac:dyDescent="0.25">
      <c r="A520" s="140"/>
      <c r="B520" s="141" t="s">
        <v>326</v>
      </c>
      <c r="C520" s="140" t="s">
        <v>11</v>
      </c>
      <c r="D520" s="150">
        <v>54.72</v>
      </c>
    </row>
    <row r="521" spans="1:4" s="197" customFormat="1" outlineLevel="2" x14ac:dyDescent="0.25">
      <c r="A521" s="169"/>
      <c r="B521" s="168" t="s">
        <v>56</v>
      </c>
      <c r="C521" s="138" t="s">
        <v>9</v>
      </c>
      <c r="D521" s="150">
        <f>D522+D523</f>
        <v>3.6699999999999995</v>
      </c>
    </row>
    <row r="522" spans="1:4" s="197" customFormat="1" outlineLevel="2" x14ac:dyDescent="0.25">
      <c r="A522" s="169"/>
      <c r="B522" s="168" t="s">
        <v>39</v>
      </c>
      <c r="C522" s="138" t="s">
        <v>9</v>
      </c>
      <c r="D522" s="170">
        <f>4.3-0.68</f>
        <v>3.6199999999999997</v>
      </c>
    </row>
    <row r="523" spans="1:4" s="197" customFormat="1" outlineLevel="2" x14ac:dyDescent="0.25">
      <c r="A523" s="169"/>
      <c r="B523" s="168" t="s">
        <v>108</v>
      </c>
      <c r="C523" s="138" t="s">
        <v>9</v>
      </c>
      <c r="D523" s="170">
        <f>0.3-0.25</f>
        <v>4.9999999999999989E-2</v>
      </c>
    </row>
    <row r="524" spans="1:4" s="197" customFormat="1" outlineLevel="2" x14ac:dyDescent="0.25">
      <c r="A524" s="169"/>
      <c r="B524" s="168" t="s">
        <v>57</v>
      </c>
      <c r="C524" s="138" t="s">
        <v>4</v>
      </c>
      <c r="D524" s="170">
        <f>48.6-10.65</f>
        <v>37.950000000000003</v>
      </c>
    </row>
    <row r="525" spans="1:4" s="197" customFormat="1" outlineLevel="2" x14ac:dyDescent="0.25">
      <c r="A525" s="169"/>
      <c r="B525" s="168" t="s">
        <v>333</v>
      </c>
      <c r="C525" s="169" t="s">
        <v>4</v>
      </c>
      <c r="D525" s="170">
        <f>D524*1.015</f>
        <v>38.51925</v>
      </c>
    </row>
    <row r="526" spans="1:4" s="197" customFormat="1" outlineLevel="1" x14ac:dyDescent="0.25">
      <c r="A526" s="178" t="s">
        <v>298</v>
      </c>
      <c r="B526" s="181" t="s">
        <v>263</v>
      </c>
      <c r="C526" s="178" t="s">
        <v>4</v>
      </c>
      <c r="D526" s="61">
        <f>D533</f>
        <v>107.7</v>
      </c>
    </row>
    <row r="527" spans="1:4" s="197" customFormat="1" outlineLevel="2" x14ac:dyDescent="0.25">
      <c r="A527" s="169"/>
      <c r="B527" s="168" t="s">
        <v>109</v>
      </c>
      <c r="C527" s="169" t="s">
        <v>11</v>
      </c>
      <c r="D527" s="170">
        <f>D528</f>
        <v>3.87</v>
      </c>
    </row>
    <row r="528" spans="1:4" s="197" customFormat="1" outlineLevel="2" x14ac:dyDescent="0.25">
      <c r="A528" s="161"/>
      <c r="B528" s="126" t="s">
        <v>326</v>
      </c>
      <c r="C528" s="161" t="s">
        <v>11</v>
      </c>
      <c r="D528" s="170">
        <v>3.87</v>
      </c>
    </row>
    <row r="529" spans="1:4" s="197" customFormat="1" outlineLevel="2" x14ac:dyDescent="0.25">
      <c r="A529" s="169"/>
      <c r="B529" s="168" t="s">
        <v>110</v>
      </c>
      <c r="C529" s="169" t="s">
        <v>9</v>
      </c>
      <c r="D529" s="170">
        <f>D530+D531+D532</f>
        <v>24.799999999999997</v>
      </c>
    </row>
    <row r="530" spans="1:4" s="197" customFormat="1" outlineLevel="2" x14ac:dyDescent="0.25">
      <c r="A530" s="169"/>
      <c r="B530" s="168" t="s">
        <v>52</v>
      </c>
      <c r="C530" s="169" t="s">
        <v>9</v>
      </c>
      <c r="D530" s="170">
        <v>14.5</v>
      </c>
    </row>
    <row r="531" spans="1:4" s="197" customFormat="1" outlineLevel="2" x14ac:dyDescent="0.25">
      <c r="A531" s="169"/>
      <c r="B531" s="168" t="s">
        <v>111</v>
      </c>
      <c r="C531" s="169" t="s">
        <v>9</v>
      </c>
      <c r="D531" s="170">
        <v>7.4</v>
      </c>
    </row>
    <row r="532" spans="1:4" s="197" customFormat="1" outlineLevel="2" x14ac:dyDescent="0.25">
      <c r="A532" s="169"/>
      <c r="B532" s="172" t="s">
        <v>136</v>
      </c>
      <c r="C532" s="169" t="s">
        <v>9</v>
      </c>
      <c r="D532" s="170">
        <v>2.9</v>
      </c>
    </row>
    <row r="533" spans="1:4" s="197" customFormat="1" outlineLevel="2" x14ac:dyDescent="0.25">
      <c r="A533" s="169"/>
      <c r="B533" s="168" t="s">
        <v>112</v>
      </c>
      <c r="C533" s="169" t="s">
        <v>4</v>
      </c>
      <c r="D533" s="170">
        <v>107.7</v>
      </c>
    </row>
    <row r="534" spans="1:4" s="197" customFormat="1" outlineLevel="2" x14ac:dyDescent="0.25">
      <c r="A534" s="169"/>
      <c r="B534" s="168" t="s">
        <v>333</v>
      </c>
      <c r="C534" s="169" t="s">
        <v>4</v>
      </c>
      <c r="D534" s="170">
        <f>D533*1.015</f>
        <v>109.31549999999999</v>
      </c>
    </row>
    <row r="535" spans="1:4" s="197" customFormat="1" outlineLevel="1" x14ac:dyDescent="0.25">
      <c r="A535" s="178" t="s">
        <v>341</v>
      </c>
      <c r="B535" s="181" t="s">
        <v>479</v>
      </c>
      <c r="C535" s="178" t="s">
        <v>4</v>
      </c>
      <c r="D535" s="61">
        <f>D541</f>
        <v>76.5</v>
      </c>
    </row>
    <row r="536" spans="1:4" s="197" customFormat="1" outlineLevel="2" x14ac:dyDescent="0.25">
      <c r="A536" s="169"/>
      <c r="B536" s="168" t="s">
        <v>30</v>
      </c>
      <c r="C536" s="169" t="s">
        <v>11</v>
      </c>
      <c r="D536" s="170">
        <f>D537</f>
        <v>56.61</v>
      </c>
    </row>
    <row r="537" spans="1:4" s="197" customFormat="1" outlineLevel="2" x14ac:dyDescent="0.25">
      <c r="A537" s="161"/>
      <c r="B537" s="126" t="s">
        <v>326</v>
      </c>
      <c r="C537" s="161" t="s">
        <v>11</v>
      </c>
      <c r="D537" s="170">
        <v>56.61</v>
      </c>
    </row>
    <row r="538" spans="1:4" s="197" customFormat="1" outlineLevel="2" x14ac:dyDescent="0.25">
      <c r="A538" s="169"/>
      <c r="B538" s="168" t="s">
        <v>113</v>
      </c>
      <c r="C538" s="169" t="s">
        <v>9</v>
      </c>
      <c r="D538" s="170">
        <f>D539+D540</f>
        <v>7.7</v>
      </c>
    </row>
    <row r="539" spans="1:4" s="197" customFormat="1" outlineLevel="2" x14ac:dyDescent="0.25">
      <c r="A539" s="169"/>
      <c r="B539" s="168" t="s">
        <v>38</v>
      </c>
      <c r="C539" s="169" t="s">
        <v>9</v>
      </c>
      <c r="D539" s="170">
        <v>7.5</v>
      </c>
    </row>
    <row r="540" spans="1:4" s="197" customFormat="1" outlineLevel="2" x14ac:dyDescent="0.25">
      <c r="A540" s="169"/>
      <c r="B540" s="168" t="s">
        <v>52</v>
      </c>
      <c r="C540" s="169" t="s">
        <v>9</v>
      </c>
      <c r="D540" s="170">
        <v>0.2</v>
      </c>
    </row>
    <row r="541" spans="1:4" s="197" customFormat="1" outlineLevel="2" x14ac:dyDescent="0.25">
      <c r="A541" s="169"/>
      <c r="B541" s="168" t="s">
        <v>305</v>
      </c>
      <c r="C541" s="169" t="s">
        <v>4</v>
      </c>
      <c r="D541" s="170">
        <v>76.5</v>
      </c>
    </row>
    <row r="542" spans="1:4" s="197" customFormat="1" outlineLevel="2" x14ac:dyDescent="0.25">
      <c r="A542" s="169"/>
      <c r="B542" s="168" t="s">
        <v>319</v>
      </c>
      <c r="C542" s="169" t="s">
        <v>4</v>
      </c>
      <c r="D542" s="170">
        <f>D541*1.015</f>
        <v>77.647499999999994</v>
      </c>
    </row>
    <row r="543" spans="1:4" s="88" customFormat="1" x14ac:dyDescent="0.2">
      <c r="A543" s="206" t="s">
        <v>496</v>
      </c>
      <c r="B543" s="207"/>
      <c r="C543" s="39"/>
      <c r="D543" s="21"/>
    </row>
    <row r="544" spans="1:4" s="88" customFormat="1" outlineLevel="1" x14ac:dyDescent="0.2">
      <c r="A544" s="16" t="s">
        <v>299</v>
      </c>
      <c r="B544" s="21" t="s">
        <v>425</v>
      </c>
      <c r="C544" s="16" t="s">
        <v>9</v>
      </c>
      <c r="D544" s="43">
        <f>D545</f>
        <v>11.5</v>
      </c>
    </row>
    <row r="545" spans="1:4" s="197" customFormat="1" outlineLevel="2" x14ac:dyDescent="0.25">
      <c r="A545" s="169"/>
      <c r="B545" s="168" t="s">
        <v>76</v>
      </c>
      <c r="C545" s="169" t="s">
        <v>9</v>
      </c>
      <c r="D545" s="173">
        <f>D546+D547+D548+D549+D550</f>
        <v>11.5</v>
      </c>
    </row>
    <row r="546" spans="1:4" s="197" customFormat="1" outlineLevel="2" x14ac:dyDescent="0.25">
      <c r="A546" s="169"/>
      <c r="B546" s="168" t="s">
        <v>77</v>
      </c>
      <c r="C546" s="169" t="s">
        <v>9</v>
      </c>
      <c r="D546" s="173">
        <v>1.1000000000000001</v>
      </c>
    </row>
    <row r="547" spans="1:4" s="197" customFormat="1" outlineLevel="2" x14ac:dyDescent="0.25">
      <c r="A547" s="169"/>
      <c r="B547" s="168" t="s">
        <v>78</v>
      </c>
      <c r="C547" s="169" t="s">
        <v>9</v>
      </c>
      <c r="D547" s="173">
        <v>1.7</v>
      </c>
    </row>
    <row r="548" spans="1:4" s="197" customFormat="1" outlineLevel="2" x14ac:dyDescent="0.25">
      <c r="A548" s="169"/>
      <c r="B548" s="168" t="s">
        <v>79</v>
      </c>
      <c r="C548" s="169" t="s">
        <v>9</v>
      </c>
      <c r="D548" s="173">
        <v>1.9</v>
      </c>
    </row>
    <row r="549" spans="1:4" s="197" customFormat="1" outlineLevel="2" x14ac:dyDescent="0.25">
      <c r="A549" s="169"/>
      <c r="B549" s="168" t="s">
        <v>85</v>
      </c>
      <c r="C549" s="169" t="s">
        <v>9</v>
      </c>
      <c r="D549" s="173">
        <v>2.5</v>
      </c>
    </row>
    <row r="550" spans="1:4" s="197" customFormat="1" outlineLevel="2" x14ac:dyDescent="0.25">
      <c r="A550" s="169"/>
      <c r="B550" s="168" t="s">
        <v>114</v>
      </c>
      <c r="C550" s="169" t="s">
        <v>9</v>
      </c>
      <c r="D550" s="173">
        <v>4.3</v>
      </c>
    </row>
    <row r="551" spans="1:4" s="197" customFormat="1" outlineLevel="1" x14ac:dyDescent="0.25">
      <c r="A551" s="178" t="s">
        <v>347</v>
      </c>
      <c r="B551" s="181" t="s">
        <v>426</v>
      </c>
      <c r="C551" s="178" t="s">
        <v>9</v>
      </c>
      <c r="D551" s="179">
        <f>D552</f>
        <v>4.8</v>
      </c>
    </row>
    <row r="552" spans="1:4" s="197" customFormat="1" outlineLevel="2" x14ac:dyDescent="0.25">
      <c r="A552" s="169"/>
      <c r="B552" s="174" t="s">
        <v>82</v>
      </c>
      <c r="C552" s="169" t="s">
        <v>9</v>
      </c>
      <c r="D552" s="173">
        <v>4.8</v>
      </c>
    </row>
    <row r="553" spans="1:4" s="197" customFormat="1" outlineLevel="1" x14ac:dyDescent="0.25">
      <c r="A553" s="178" t="s">
        <v>348</v>
      </c>
      <c r="B553" s="181" t="s">
        <v>427</v>
      </c>
      <c r="C553" s="178" t="s">
        <v>9</v>
      </c>
      <c r="D553" s="179">
        <f>D554+D560+D561</f>
        <v>32</v>
      </c>
    </row>
    <row r="554" spans="1:4" s="197" customFormat="1" outlineLevel="2" x14ac:dyDescent="0.25">
      <c r="A554" s="169"/>
      <c r="B554" s="168" t="s">
        <v>83</v>
      </c>
      <c r="C554" s="169" t="s">
        <v>9</v>
      </c>
      <c r="D554" s="173">
        <f>D555+D556+D557+D558+D559</f>
        <v>15.9</v>
      </c>
    </row>
    <row r="555" spans="1:4" s="197" customFormat="1" outlineLevel="2" x14ac:dyDescent="0.25">
      <c r="A555" s="169"/>
      <c r="B555" s="168" t="s">
        <v>84</v>
      </c>
      <c r="C555" s="169" t="s">
        <v>9</v>
      </c>
      <c r="D555" s="173">
        <v>4</v>
      </c>
    </row>
    <row r="556" spans="1:4" s="197" customFormat="1" outlineLevel="2" x14ac:dyDescent="0.25">
      <c r="A556" s="169"/>
      <c r="B556" s="168" t="s">
        <v>85</v>
      </c>
      <c r="C556" s="169" t="s">
        <v>9</v>
      </c>
      <c r="D556" s="173">
        <v>7.5</v>
      </c>
    </row>
    <row r="557" spans="1:4" s="197" customFormat="1" outlineLevel="2" x14ac:dyDescent="0.25">
      <c r="A557" s="169"/>
      <c r="B557" s="168" t="s">
        <v>86</v>
      </c>
      <c r="C557" s="169" t="s">
        <v>9</v>
      </c>
      <c r="D557" s="173">
        <v>3.5</v>
      </c>
    </row>
    <row r="558" spans="1:4" s="197" customFormat="1" outlineLevel="2" x14ac:dyDescent="0.25">
      <c r="A558" s="169"/>
      <c r="B558" s="168" t="s">
        <v>87</v>
      </c>
      <c r="C558" s="169" t="s">
        <v>9</v>
      </c>
      <c r="D558" s="173">
        <v>0.4</v>
      </c>
    </row>
    <row r="559" spans="1:4" s="197" customFormat="1" outlineLevel="2" x14ac:dyDescent="0.25">
      <c r="A559" s="169"/>
      <c r="B559" s="168" t="s">
        <v>88</v>
      </c>
      <c r="C559" s="169" t="s">
        <v>9</v>
      </c>
      <c r="D559" s="173">
        <v>0.5</v>
      </c>
    </row>
    <row r="560" spans="1:4" s="197" customFormat="1" outlineLevel="2" x14ac:dyDescent="0.25">
      <c r="A560" s="169"/>
      <c r="B560" s="168" t="s">
        <v>89</v>
      </c>
      <c r="C560" s="169" t="s">
        <v>9</v>
      </c>
      <c r="D560" s="173">
        <v>12.6</v>
      </c>
    </row>
    <row r="561" spans="1:4" s="197" customFormat="1" outlineLevel="2" x14ac:dyDescent="0.25">
      <c r="A561" s="169"/>
      <c r="B561" s="168" t="s">
        <v>90</v>
      </c>
      <c r="C561" s="169" t="s">
        <v>9</v>
      </c>
      <c r="D561" s="173">
        <v>3.5</v>
      </c>
    </row>
    <row r="562" spans="1:4" s="197" customFormat="1" outlineLevel="1" x14ac:dyDescent="0.25">
      <c r="A562" s="178" t="s">
        <v>349</v>
      </c>
      <c r="B562" s="181" t="s">
        <v>428</v>
      </c>
      <c r="C562" s="178" t="s">
        <v>9</v>
      </c>
      <c r="D562" s="179">
        <f>D563</f>
        <v>9.3000000000000007</v>
      </c>
    </row>
    <row r="563" spans="1:4" s="197" customFormat="1" outlineLevel="2" x14ac:dyDescent="0.25">
      <c r="A563" s="169"/>
      <c r="B563" s="168" t="s">
        <v>115</v>
      </c>
      <c r="C563" s="169" t="s">
        <v>9</v>
      </c>
      <c r="D563" s="173">
        <f>D564+D565+D566+D567+D568+D569+D570+D571+D572+D573</f>
        <v>9.3000000000000007</v>
      </c>
    </row>
    <row r="564" spans="1:4" s="197" customFormat="1" outlineLevel="2" x14ac:dyDescent="0.25">
      <c r="A564" s="169"/>
      <c r="B564" s="168" t="s">
        <v>92</v>
      </c>
      <c r="C564" s="169" t="s">
        <v>9</v>
      </c>
      <c r="D564" s="173">
        <v>1.7</v>
      </c>
    </row>
    <row r="565" spans="1:4" s="197" customFormat="1" outlineLevel="2" x14ac:dyDescent="0.25">
      <c r="A565" s="169"/>
      <c r="B565" s="168" t="s">
        <v>93</v>
      </c>
      <c r="C565" s="169" t="s">
        <v>9</v>
      </c>
      <c r="D565" s="173">
        <v>0.9</v>
      </c>
    </row>
    <row r="566" spans="1:4" s="197" customFormat="1" outlineLevel="2" x14ac:dyDescent="0.25">
      <c r="A566" s="169"/>
      <c r="B566" s="168" t="s">
        <v>94</v>
      </c>
      <c r="C566" s="169" t="s">
        <v>9</v>
      </c>
      <c r="D566" s="173">
        <v>0.3</v>
      </c>
    </row>
    <row r="567" spans="1:4" s="197" customFormat="1" outlineLevel="2" x14ac:dyDescent="0.25">
      <c r="A567" s="169"/>
      <c r="B567" s="168" t="s">
        <v>95</v>
      </c>
      <c r="C567" s="169" t="s">
        <v>9</v>
      </c>
      <c r="D567" s="173">
        <v>1.3</v>
      </c>
    </row>
    <row r="568" spans="1:4" s="197" customFormat="1" outlineLevel="2" x14ac:dyDescent="0.25">
      <c r="A568" s="169"/>
      <c r="B568" s="168" t="s">
        <v>96</v>
      </c>
      <c r="C568" s="169" t="s">
        <v>9</v>
      </c>
      <c r="D568" s="173">
        <v>0.3</v>
      </c>
    </row>
    <row r="569" spans="1:4" s="197" customFormat="1" outlineLevel="2" x14ac:dyDescent="0.25">
      <c r="A569" s="169"/>
      <c r="B569" s="168" t="s">
        <v>97</v>
      </c>
      <c r="C569" s="169" t="s">
        <v>9</v>
      </c>
      <c r="D569" s="173">
        <v>0.2</v>
      </c>
    </row>
    <row r="570" spans="1:4" s="197" customFormat="1" outlineLevel="2" x14ac:dyDescent="0.25">
      <c r="A570" s="169"/>
      <c r="B570" s="168" t="s">
        <v>98</v>
      </c>
      <c r="C570" s="169" t="s">
        <v>9</v>
      </c>
      <c r="D570" s="173">
        <v>2.7</v>
      </c>
    </row>
    <row r="571" spans="1:4" s="197" customFormat="1" outlineLevel="2" x14ac:dyDescent="0.25">
      <c r="A571" s="169"/>
      <c r="B571" s="168" t="s">
        <v>99</v>
      </c>
      <c r="C571" s="169" t="s">
        <v>9</v>
      </c>
      <c r="D571" s="173">
        <v>1.3</v>
      </c>
    </row>
    <row r="572" spans="1:4" s="197" customFormat="1" outlineLevel="2" x14ac:dyDescent="0.25">
      <c r="A572" s="169"/>
      <c r="B572" s="168" t="s">
        <v>100</v>
      </c>
      <c r="C572" s="169" t="s">
        <v>9</v>
      </c>
      <c r="D572" s="173">
        <v>0.5</v>
      </c>
    </row>
    <row r="573" spans="1:4" s="197" customFormat="1" outlineLevel="2" x14ac:dyDescent="0.25">
      <c r="A573" s="169"/>
      <c r="B573" s="168" t="s">
        <v>101</v>
      </c>
      <c r="C573" s="169" t="s">
        <v>9</v>
      </c>
      <c r="D573" s="173">
        <v>0.1</v>
      </c>
    </row>
    <row r="574" spans="1:4" s="197" customFormat="1" outlineLevel="1" x14ac:dyDescent="0.25">
      <c r="A574" s="178" t="s">
        <v>423</v>
      </c>
      <c r="B574" s="181" t="s">
        <v>429</v>
      </c>
      <c r="C574" s="178" t="s">
        <v>11</v>
      </c>
      <c r="D574" s="179">
        <f>D575</f>
        <v>910</v>
      </c>
    </row>
    <row r="575" spans="1:4" s="197" customFormat="1" outlineLevel="2" x14ac:dyDescent="0.25">
      <c r="A575" s="169"/>
      <c r="B575" s="168" t="s">
        <v>102</v>
      </c>
      <c r="C575" s="169" t="s">
        <v>11</v>
      </c>
      <c r="D575" s="173">
        <v>910</v>
      </c>
    </row>
    <row r="576" spans="1:4" s="197" customFormat="1" outlineLevel="1" x14ac:dyDescent="0.25">
      <c r="A576" s="178" t="s">
        <v>430</v>
      </c>
      <c r="B576" s="181" t="s">
        <v>424</v>
      </c>
      <c r="C576" s="178" t="s">
        <v>9</v>
      </c>
      <c r="D576" s="179">
        <f>D577+D582</f>
        <v>7.5600000000000005</v>
      </c>
    </row>
    <row r="577" spans="1:4" s="197" customFormat="1" outlineLevel="2" x14ac:dyDescent="0.25">
      <c r="A577" s="169"/>
      <c r="B577" s="168" t="s">
        <v>116</v>
      </c>
      <c r="C577" s="169" t="s">
        <v>9</v>
      </c>
      <c r="D577" s="173">
        <f>D578+D579+D580+D581+D584+D585+D586</f>
        <v>4.74</v>
      </c>
    </row>
    <row r="578" spans="1:4" s="197" customFormat="1" outlineLevel="2" x14ac:dyDescent="0.25">
      <c r="A578" s="169"/>
      <c r="B578" s="168" t="s">
        <v>117</v>
      </c>
      <c r="C578" s="169" t="s">
        <v>9</v>
      </c>
      <c r="D578" s="173">
        <v>1.27</v>
      </c>
    </row>
    <row r="579" spans="1:4" s="197" customFormat="1" outlineLevel="2" x14ac:dyDescent="0.25">
      <c r="A579" s="169"/>
      <c r="B579" s="168" t="s">
        <v>118</v>
      </c>
      <c r="C579" s="169" t="s">
        <v>9</v>
      </c>
      <c r="D579" s="173">
        <v>1.06</v>
      </c>
    </row>
    <row r="580" spans="1:4" s="197" customFormat="1" outlineLevel="2" x14ac:dyDescent="0.25">
      <c r="A580" s="169"/>
      <c r="B580" s="168" t="s">
        <v>119</v>
      </c>
      <c r="C580" s="169" t="s">
        <v>9</v>
      </c>
      <c r="D580" s="173">
        <v>1.82</v>
      </c>
    </row>
    <row r="581" spans="1:4" s="197" customFormat="1" outlineLevel="2" x14ac:dyDescent="0.25">
      <c r="A581" s="169"/>
      <c r="B581" s="168" t="s">
        <v>120</v>
      </c>
      <c r="C581" s="169" t="s">
        <v>9</v>
      </c>
      <c r="D581" s="173">
        <v>0.06</v>
      </c>
    </row>
    <row r="582" spans="1:4" s="197" customFormat="1" outlineLevel="2" x14ac:dyDescent="0.25">
      <c r="A582" s="169"/>
      <c r="B582" s="168" t="s">
        <v>121</v>
      </c>
      <c r="C582" s="169" t="s">
        <v>9</v>
      </c>
      <c r="D582" s="173">
        <v>2.82</v>
      </c>
    </row>
    <row r="583" spans="1:4" s="197" customFormat="1" outlineLevel="2" x14ac:dyDescent="0.25">
      <c r="A583" s="169"/>
      <c r="B583" s="168" t="s">
        <v>115</v>
      </c>
      <c r="C583" s="169" t="s">
        <v>9</v>
      </c>
      <c r="D583" s="173"/>
    </row>
    <row r="584" spans="1:4" s="197" customFormat="1" outlineLevel="2" x14ac:dyDescent="0.25">
      <c r="A584" s="169"/>
      <c r="B584" s="168" t="s">
        <v>122</v>
      </c>
      <c r="C584" s="169" t="s">
        <v>9</v>
      </c>
      <c r="D584" s="173">
        <v>0.32</v>
      </c>
    </row>
    <row r="585" spans="1:4" s="197" customFormat="1" outlineLevel="2" x14ac:dyDescent="0.25">
      <c r="A585" s="169"/>
      <c r="B585" s="168" t="s">
        <v>123</v>
      </c>
      <c r="C585" s="169" t="s">
        <v>9</v>
      </c>
      <c r="D585" s="173">
        <v>0.08</v>
      </c>
    </row>
    <row r="586" spans="1:4" s="197" customFormat="1" outlineLevel="2" x14ac:dyDescent="0.25">
      <c r="A586" s="169"/>
      <c r="B586" s="168" t="s">
        <v>124</v>
      </c>
      <c r="C586" s="169" t="s">
        <v>9</v>
      </c>
      <c r="D586" s="173">
        <v>0.13</v>
      </c>
    </row>
    <row r="587" spans="1:4" s="197" customFormat="1" outlineLevel="1" x14ac:dyDescent="0.25">
      <c r="A587" s="178" t="s">
        <v>422</v>
      </c>
      <c r="B587" s="181" t="s">
        <v>280</v>
      </c>
      <c r="C587" s="178" t="s">
        <v>11</v>
      </c>
      <c r="D587" s="179">
        <f>D588</f>
        <v>1525.2</v>
      </c>
    </row>
    <row r="588" spans="1:4" s="197" customFormat="1" ht="28.5" customHeight="1" outlineLevel="2" x14ac:dyDescent="0.25">
      <c r="A588" s="169"/>
      <c r="B588" s="171" t="s">
        <v>506</v>
      </c>
      <c r="C588" s="169" t="s">
        <v>11</v>
      </c>
      <c r="D588" s="173">
        <f>D589</f>
        <v>1525.2</v>
      </c>
    </row>
    <row r="589" spans="1:4" s="197" customFormat="1" outlineLevel="2" x14ac:dyDescent="0.25">
      <c r="A589" s="169"/>
      <c r="B589" s="168" t="s">
        <v>338</v>
      </c>
      <c r="C589" s="169" t="s">
        <v>11</v>
      </c>
      <c r="D589" s="173">
        <v>1525.2</v>
      </c>
    </row>
    <row r="590" spans="1:4" s="197" customFormat="1" outlineLevel="2" x14ac:dyDescent="0.25">
      <c r="A590" s="169"/>
      <c r="B590" s="160" t="s">
        <v>499</v>
      </c>
      <c r="C590" s="176" t="s">
        <v>153</v>
      </c>
      <c r="D590" s="177">
        <f>D589*0.37</f>
        <v>564.32399999999996</v>
      </c>
    </row>
    <row r="591" spans="1:4" s="88" customFormat="1" x14ac:dyDescent="0.2">
      <c r="A591" s="206" t="s">
        <v>431</v>
      </c>
      <c r="B591" s="207"/>
      <c r="C591" s="39"/>
      <c r="D591" s="21"/>
    </row>
    <row r="592" spans="1:4" s="88" customFormat="1" ht="18.75" customHeight="1" outlineLevel="2" x14ac:dyDescent="0.2">
      <c r="A592" s="148" t="s">
        <v>450</v>
      </c>
      <c r="B592" s="149" t="s">
        <v>480</v>
      </c>
      <c r="C592" s="148" t="s">
        <v>4</v>
      </c>
      <c r="D592" s="43">
        <f>D604</f>
        <v>36.47</v>
      </c>
    </row>
    <row r="593" spans="1:4" s="197" customFormat="1" outlineLevel="3" x14ac:dyDescent="0.25">
      <c r="A593" s="138"/>
      <c r="B593" s="139" t="s">
        <v>36</v>
      </c>
      <c r="C593" s="138" t="s">
        <v>11</v>
      </c>
      <c r="D593" s="170">
        <f>D594</f>
        <v>37.56</v>
      </c>
    </row>
    <row r="594" spans="1:4" s="197" customFormat="1" outlineLevel="3" x14ac:dyDescent="0.25">
      <c r="A594" s="140"/>
      <c r="B594" s="141" t="s">
        <v>326</v>
      </c>
      <c r="C594" s="140" t="s">
        <v>11</v>
      </c>
      <c r="D594" s="170">
        <v>37.56</v>
      </c>
    </row>
    <row r="595" spans="1:4" s="197" customFormat="1" outlineLevel="3" x14ac:dyDescent="0.25">
      <c r="A595" s="138"/>
      <c r="B595" s="142" t="s">
        <v>37</v>
      </c>
      <c r="C595" s="138" t="s">
        <v>9</v>
      </c>
      <c r="D595" s="180">
        <f>D596+D597+D598+D599+D600+D601+D602+D603</f>
        <v>5.4880000000000004</v>
      </c>
    </row>
    <row r="596" spans="1:4" s="197" customFormat="1" outlineLevel="3" x14ac:dyDescent="0.25">
      <c r="A596" s="138"/>
      <c r="B596" s="142" t="s">
        <v>38</v>
      </c>
      <c r="C596" s="138" t="s">
        <v>9</v>
      </c>
      <c r="D596" s="180">
        <v>0.13200000000000001</v>
      </c>
    </row>
    <row r="597" spans="1:4" s="197" customFormat="1" outlineLevel="3" x14ac:dyDescent="0.25">
      <c r="A597" s="138"/>
      <c r="B597" s="142" t="s">
        <v>65</v>
      </c>
      <c r="C597" s="138" t="s">
        <v>9</v>
      </c>
      <c r="D597" s="180">
        <v>3.3000000000000002E-2</v>
      </c>
    </row>
    <row r="598" spans="1:4" s="197" customFormat="1" outlineLevel="3" x14ac:dyDescent="0.25">
      <c r="A598" s="138"/>
      <c r="B598" s="142" t="s">
        <v>106</v>
      </c>
      <c r="C598" s="138" t="s">
        <v>9</v>
      </c>
      <c r="D598" s="180">
        <v>0.156</v>
      </c>
    </row>
    <row r="599" spans="1:4" s="197" customFormat="1" outlineLevel="3" x14ac:dyDescent="0.25">
      <c r="A599" s="138"/>
      <c r="B599" s="142" t="s">
        <v>39</v>
      </c>
      <c r="C599" s="138" t="s">
        <v>9</v>
      </c>
      <c r="D599" s="180">
        <v>3.0190000000000001</v>
      </c>
    </row>
    <row r="600" spans="1:4" s="197" customFormat="1" outlineLevel="3" x14ac:dyDescent="0.25">
      <c r="A600" s="138"/>
      <c r="B600" s="142" t="s">
        <v>52</v>
      </c>
      <c r="C600" s="138" t="s">
        <v>9</v>
      </c>
      <c r="D600" s="180">
        <f>1.214</f>
        <v>1.214</v>
      </c>
    </row>
    <row r="601" spans="1:4" s="197" customFormat="1" outlineLevel="3" x14ac:dyDescent="0.25">
      <c r="A601" s="138"/>
      <c r="B601" s="142" t="s">
        <v>40</v>
      </c>
      <c r="C601" s="138" t="s">
        <v>9</v>
      </c>
      <c r="D601" s="180">
        <f>0.043</f>
        <v>4.2999999999999997E-2</v>
      </c>
    </row>
    <row r="602" spans="1:4" s="197" customFormat="1" outlineLevel="3" x14ac:dyDescent="0.25">
      <c r="A602" s="138"/>
      <c r="B602" s="142" t="s">
        <v>41</v>
      </c>
      <c r="C602" s="138" t="s">
        <v>9</v>
      </c>
      <c r="D602" s="180">
        <f>0.305</f>
        <v>0.30499999999999999</v>
      </c>
    </row>
    <row r="603" spans="1:4" s="197" customFormat="1" outlineLevel="3" x14ac:dyDescent="0.25">
      <c r="A603" s="138"/>
      <c r="B603" s="142" t="s">
        <v>64</v>
      </c>
      <c r="C603" s="138" t="s">
        <v>9</v>
      </c>
      <c r="D603" s="180">
        <f>0.586</f>
        <v>0.58599999999999997</v>
      </c>
    </row>
    <row r="604" spans="1:4" s="197" customFormat="1" ht="30.75" customHeight="1" outlineLevel="3" x14ac:dyDescent="0.25">
      <c r="A604" s="138"/>
      <c r="B604" s="143" t="s">
        <v>303</v>
      </c>
      <c r="C604" s="138" t="s">
        <v>4</v>
      </c>
      <c r="D604" s="170">
        <v>36.47</v>
      </c>
    </row>
    <row r="605" spans="1:4" s="197" customFormat="1" ht="18" customHeight="1" outlineLevel="3" x14ac:dyDescent="0.25">
      <c r="A605" s="138"/>
      <c r="B605" s="142" t="s">
        <v>202</v>
      </c>
      <c r="C605" s="138" t="s">
        <v>4</v>
      </c>
      <c r="D605" s="170">
        <f>D604*1.02</f>
        <v>37.199399999999997</v>
      </c>
    </row>
    <row r="606" spans="1:4" s="197" customFormat="1" ht="28.5" customHeight="1" outlineLevel="1" x14ac:dyDescent="0.25">
      <c r="A606" s="144" t="s">
        <v>451</v>
      </c>
      <c r="B606" s="145" t="s">
        <v>492</v>
      </c>
      <c r="C606" s="144" t="s">
        <v>11</v>
      </c>
      <c r="D606" s="61">
        <v>355</v>
      </c>
    </row>
    <row r="607" spans="1:4" s="197" customFormat="1" outlineLevel="3" x14ac:dyDescent="0.25">
      <c r="A607" s="138"/>
      <c r="B607" s="142" t="s">
        <v>42</v>
      </c>
      <c r="C607" s="138" t="s">
        <v>11</v>
      </c>
      <c r="D607" s="170">
        <v>355</v>
      </c>
    </row>
    <row r="608" spans="1:4" s="197" customFormat="1" outlineLevel="3" x14ac:dyDescent="0.25">
      <c r="A608" s="140"/>
      <c r="B608" s="141" t="s">
        <v>325</v>
      </c>
      <c r="C608" s="140" t="s">
        <v>9</v>
      </c>
      <c r="D608" s="59">
        <v>5.7000000000000002E-2</v>
      </c>
    </row>
    <row r="609" spans="1:4" s="197" customFormat="1" outlineLevel="3" x14ac:dyDescent="0.25">
      <c r="A609" s="140"/>
      <c r="B609" s="141" t="s">
        <v>317</v>
      </c>
      <c r="C609" s="140" t="s">
        <v>153</v>
      </c>
      <c r="D609" s="173">
        <v>1562</v>
      </c>
    </row>
    <row r="610" spans="1:4" s="197" customFormat="1" outlineLevel="3" x14ac:dyDescent="0.25">
      <c r="A610" s="140"/>
      <c r="B610" s="141" t="s">
        <v>314</v>
      </c>
      <c r="C610" s="140" t="s">
        <v>11</v>
      </c>
      <c r="D610" s="173">
        <v>816.5</v>
      </c>
    </row>
    <row r="611" spans="1:4" s="197" customFormat="1" outlineLevel="3" x14ac:dyDescent="0.25">
      <c r="A611" s="138"/>
      <c r="B611" s="142" t="s">
        <v>43</v>
      </c>
      <c r="C611" s="138" t="s">
        <v>11</v>
      </c>
      <c r="D611" s="170">
        <v>355</v>
      </c>
    </row>
    <row r="612" spans="1:4" s="197" customFormat="1" outlineLevel="3" x14ac:dyDescent="0.25">
      <c r="A612" s="138"/>
      <c r="B612" s="142" t="s">
        <v>329</v>
      </c>
      <c r="C612" s="138" t="s">
        <v>4</v>
      </c>
      <c r="D612" s="170">
        <v>35.5</v>
      </c>
    </row>
    <row r="613" spans="1:4" s="197" customFormat="1" ht="31.5" customHeight="1" outlineLevel="1" x14ac:dyDescent="0.25">
      <c r="A613" s="144" t="s">
        <v>452</v>
      </c>
      <c r="B613" s="145" t="s">
        <v>491</v>
      </c>
      <c r="C613" s="144" t="s">
        <v>11</v>
      </c>
      <c r="D613" s="61">
        <v>355</v>
      </c>
    </row>
    <row r="614" spans="1:4" s="197" customFormat="1" outlineLevel="2" x14ac:dyDescent="0.25">
      <c r="A614" s="138"/>
      <c r="B614" s="142" t="s">
        <v>330</v>
      </c>
      <c r="C614" s="138" t="s">
        <v>4</v>
      </c>
      <c r="D614" s="170">
        <v>8.1649999999999991</v>
      </c>
    </row>
    <row r="615" spans="1:4" s="197" customFormat="1" outlineLevel="2" x14ac:dyDescent="0.25">
      <c r="A615" s="138"/>
      <c r="B615" s="142" t="s">
        <v>331</v>
      </c>
      <c r="C615" s="138" t="s">
        <v>332</v>
      </c>
      <c r="D615" s="170">
        <v>17.75</v>
      </c>
    </row>
    <row r="616" spans="1:4" s="197" customFormat="1" outlineLevel="1" x14ac:dyDescent="0.25">
      <c r="A616" s="144" t="s">
        <v>453</v>
      </c>
      <c r="B616" s="145" t="s">
        <v>481</v>
      </c>
      <c r="C616" s="144" t="s">
        <v>4</v>
      </c>
      <c r="D616" s="61">
        <f>D622</f>
        <v>4</v>
      </c>
    </row>
    <row r="617" spans="1:4" s="197" customFormat="1" outlineLevel="2" x14ac:dyDescent="0.25">
      <c r="A617" s="138"/>
      <c r="B617" s="142" t="s">
        <v>45</v>
      </c>
      <c r="C617" s="138" t="s">
        <v>11</v>
      </c>
      <c r="D617" s="170">
        <f>D618</f>
        <v>5.4</v>
      </c>
    </row>
    <row r="618" spans="1:4" s="197" customFormat="1" outlineLevel="2" x14ac:dyDescent="0.25">
      <c r="A618" s="140"/>
      <c r="B618" s="141" t="s">
        <v>326</v>
      </c>
      <c r="C618" s="140" t="s">
        <v>11</v>
      </c>
      <c r="D618" s="170">
        <v>5.4</v>
      </c>
    </row>
    <row r="619" spans="1:4" s="197" customFormat="1" outlineLevel="2" x14ac:dyDescent="0.25">
      <c r="A619" s="138"/>
      <c r="B619" s="142" t="s">
        <v>46</v>
      </c>
      <c r="C619" s="138" t="s">
        <v>9</v>
      </c>
      <c r="D619" s="170">
        <f>D620+D621</f>
        <v>0.77400000000000002</v>
      </c>
    </row>
    <row r="620" spans="1:4" s="197" customFormat="1" outlineLevel="2" x14ac:dyDescent="0.25">
      <c r="A620" s="158"/>
      <c r="B620" s="168" t="s">
        <v>41</v>
      </c>
      <c r="C620" s="169" t="s">
        <v>9</v>
      </c>
      <c r="D620" s="170">
        <v>0.5</v>
      </c>
    </row>
    <row r="621" spans="1:4" s="197" customFormat="1" outlineLevel="2" x14ac:dyDescent="0.25">
      <c r="A621" s="158"/>
      <c r="B621" s="168" t="s">
        <v>38</v>
      </c>
      <c r="C621" s="169" t="s">
        <v>9</v>
      </c>
      <c r="D621" s="170">
        <v>0.27400000000000002</v>
      </c>
    </row>
    <row r="622" spans="1:4" s="197" customFormat="1" outlineLevel="2" x14ac:dyDescent="0.25">
      <c r="A622" s="158"/>
      <c r="B622" s="168" t="s">
        <v>47</v>
      </c>
      <c r="C622" s="169" t="s">
        <v>4</v>
      </c>
      <c r="D622" s="170">
        <v>4</v>
      </c>
    </row>
    <row r="623" spans="1:4" s="197" customFormat="1" outlineLevel="2" x14ac:dyDescent="0.25">
      <c r="A623" s="158"/>
      <c r="B623" s="168" t="s">
        <v>333</v>
      </c>
      <c r="C623" s="169" t="s">
        <v>4</v>
      </c>
      <c r="D623" s="170">
        <f>D622*1.015</f>
        <v>4.0599999999999996</v>
      </c>
    </row>
    <row r="624" spans="1:4" s="197" customFormat="1" outlineLevel="1" x14ac:dyDescent="0.25">
      <c r="A624" s="144" t="s">
        <v>454</v>
      </c>
      <c r="B624" s="147" t="s">
        <v>482</v>
      </c>
      <c r="C624" s="144" t="s">
        <v>4</v>
      </c>
      <c r="D624" s="61">
        <v>34.1</v>
      </c>
    </row>
    <row r="625" spans="1:4" s="197" customFormat="1" outlineLevel="2" x14ac:dyDescent="0.25">
      <c r="A625" s="138"/>
      <c r="B625" s="142" t="s">
        <v>50</v>
      </c>
      <c r="C625" s="138" t="s">
        <v>11</v>
      </c>
      <c r="D625" s="170">
        <v>108.74</v>
      </c>
    </row>
    <row r="626" spans="1:4" s="197" customFormat="1" outlineLevel="2" x14ac:dyDescent="0.25">
      <c r="A626" s="140"/>
      <c r="B626" s="141" t="s">
        <v>326</v>
      </c>
      <c r="C626" s="140" t="s">
        <v>11</v>
      </c>
      <c r="D626" s="170">
        <v>17.940000000000001</v>
      </c>
    </row>
    <row r="627" spans="1:4" s="197" customFormat="1" outlineLevel="2" x14ac:dyDescent="0.25">
      <c r="A627" s="140"/>
      <c r="B627" s="141" t="s">
        <v>335</v>
      </c>
      <c r="C627" s="140" t="s">
        <v>135</v>
      </c>
      <c r="D627" s="170">
        <v>0.78</v>
      </c>
    </row>
    <row r="628" spans="1:4" s="197" customFormat="1" outlineLevel="2" x14ac:dyDescent="0.25">
      <c r="A628" s="138"/>
      <c r="B628" s="142" t="s">
        <v>51</v>
      </c>
      <c r="C628" s="138" t="s">
        <v>9</v>
      </c>
      <c r="D628" s="180">
        <f>D630+D631+D632+D633+D634+D629</f>
        <v>3.5109999999999997</v>
      </c>
    </row>
    <row r="629" spans="1:4" s="197" customFormat="1" outlineLevel="2" x14ac:dyDescent="0.25">
      <c r="A629" s="138"/>
      <c r="B629" s="142" t="s">
        <v>334</v>
      </c>
      <c r="C629" s="138" t="s">
        <v>9</v>
      </c>
      <c r="D629" s="180">
        <v>8.2000000000000003E-2</v>
      </c>
    </row>
    <row r="630" spans="1:4" s="197" customFormat="1" outlineLevel="2" x14ac:dyDescent="0.25">
      <c r="A630" s="138"/>
      <c r="B630" s="142" t="s">
        <v>52</v>
      </c>
      <c r="C630" s="138" t="s">
        <v>9</v>
      </c>
      <c r="D630" s="180">
        <v>2.0259999999999998</v>
      </c>
    </row>
    <row r="631" spans="1:4" s="197" customFormat="1" outlineLevel="2" x14ac:dyDescent="0.25">
      <c r="A631" s="138"/>
      <c r="B631" s="142" t="s">
        <v>53</v>
      </c>
      <c r="C631" s="138" t="s">
        <v>9</v>
      </c>
      <c r="D631" s="180">
        <v>0.378</v>
      </c>
    </row>
    <row r="632" spans="1:4" s="197" customFormat="1" outlineLevel="2" x14ac:dyDescent="0.25">
      <c r="A632" s="138"/>
      <c r="B632" s="142" t="s">
        <v>39</v>
      </c>
      <c r="C632" s="138" t="s">
        <v>9</v>
      </c>
      <c r="D632" s="180">
        <v>0.255</v>
      </c>
    </row>
    <row r="633" spans="1:4" s="197" customFormat="1" outlineLevel="2" x14ac:dyDescent="0.25">
      <c r="A633" s="138"/>
      <c r="B633" s="142" t="s">
        <v>106</v>
      </c>
      <c r="C633" s="138" t="s">
        <v>9</v>
      </c>
      <c r="D633" s="180">
        <v>0.11</v>
      </c>
    </row>
    <row r="634" spans="1:4" s="197" customFormat="1" outlineLevel="2" x14ac:dyDescent="0.25">
      <c r="A634" s="138"/>
      <c r="B634" s="142" t="s">
        <v>65</v>
      </c>
      <c r="C634" s="138" t="s">
        <v>9</v>
      </c>
      <c r="D634" s="180">
        <v>0.66</v>
      </c>
    </row>
    <row r="635" spans="1:4" s="197" customFormat="1" outlineLevel="2" x14ac:dyDescent="0.25">
      <c r="A635" s="138"/>
      <c r="B635" s="142" t="s">
        <v>54</v>
      </c>
      <c r="C635" s="138" t="s">
        <v>4</v>
      </c>
      <c r="D635" s="170">
        <v>34.1</v>
      </c>
    </row>
    <row r="636" spans="1:4" s="197" customFormat="1" outlineLevel="2" x14ac:dyDescent="0.25">
      <c r="A636" s="138"/>
      <c r="B636" s="142" t="s">
        <v>333</v>
      </c>
      <c r="C636" s="138" t="s">
        <v>4</v>
      </c>
      <c r="D636" s="170">
        <f>D635*1.015</f>
        <v>34.611499999999999</v>
      </c>
    </row>
    <row r="637" spans="1:4" s="197" customFormat="1" outlineLevel="1" x14ac:dyDescent="0.25">
      <c r="A637" s="144" t="s">
        <v>505</v>
      </c>
      <c r="B637" s="147" t="s">
        <v>497</v>
      </c>
      <c r="C637" s="144" t="s">
        <v>4</v>
      </c>
      <c r="D637" s="61">
        <f>D646</f>
        <v>2.0499999999999998</v>
      </c>
    </row>
    <row r="638" spans="1:4" s="197" customFormat="1" outlineLevel="2" x14ac:dyDescent="0.25">
      <c r="A638" s="138"/>
      <c r="B638" s="142" t="s">
        <v>55</v>
      </c>
      <c r="C638" s="138" t="s">
        <v>11</v>
      </c>
      <c r="D638" s="150">
        <f>D639</f>
        <v>2.96</v>
      </c>
    </row>
    <row r="639" spans="1:4" s="197" customFormat="1" outlineLevel="2" x14ac:dyDescent="0.25">
      <c r="A639" s="140"/>
      <c r="B639" s="141" t="s">
        <v>326</v>
      </c>
      <c r="C639" s="140" t="s">
        <v>11</v>
      </c>
      <c r="D639" s="150">
        <v>2.96</v>
      </c>
    </row>
    <row r="640" spans="1:4" s="197" customFormat="1" outlineLevel="2" x14ac:dyDescent="0.25">
      <c r="A640" s="140"/>
      <c r="B640" s="141" t="s">
        <v>335</v>
      </c>
      <c r="C640" s="140" t="s">
        <v>135</v>
      </c>
      <c r="D640" s="150">
        <v>0.1</v>
      </c>
    </row>
    <row r="641" spans="1:4" s="197" customFormat="1" outlineLevel="2" x14ac:dyDescent="0.25">
      <c r="A641" s="138"/>
      <c r="B641" s="142" t="s">
        <v>56</v>
      </c>
      <c r="C641" s="138" t="s">
        <v>9</v>
      </c>
      <c r="D641" s="151">
        <f>D643+D644+D645+D642</f>
        <v>0.312</v>
      </c>
    </row>
    <row r="642" spans="1:4" s="197" customFormat="1" outlineLevel="2" x14ac:dyDescent="0.25">
      <c r="A642" s="138"/>
      <c r="B642" s="142" t="s">
        <v>334</v>
      </c>
      <c r="C642" s="138" t="s">
        <v>9</v>
      </c>
      <c r="D642" s="151">
        <v>1.2999999999999999E-2</v>
      </c>
    </row>
    <row r="643" spans="1:4" s="197" customFormat="1" outlineLevel="2" x14ac:dyDescent="0.25">
      <c r="A643" s="138"/>
      <c r="B643" s="142" t="s">
        <v>39</v>
      </c>
      <c r="C643" s="138" t="s">
        <v>9</v>
      </c>
      <c r="D643" s="180">
        <f>222/1000</f>
        <v>0.222</v>
      </c>
    </row>
    <row r="644" spans="1:4" s="197" customFormat="1" outlineLevel="2" x14ac:dyDescent="0.25">
      <c r="A644" s="138"/>
      <c r="B644" s="142" t="s">
        <v>106</v>
      </c>
      <c r="C644" s="138" t="s">
        <v>9</v>
      </c>
      <c r="D644" s="170">
        <f>15/1000</f>
        <v>1.4999999999999999E-2</v>
      </c>
    </row>
    <row r="645" spans="1:4" s="197" customFormat="1" outlineLevel="2" x14ac:dyDescent="0.25">
      <c r="A645" s="138"/>
      <c r="B645" s="142" t="s">
        <v>38</v>
      </c>
      <c r="C645" s="138" t="s">
        <v>9</v>
      </c>
      <c r="D645" s="170">
        <f>62/1000</f>
        <v>6.2E-2</v>
      </c>
    </row>
    <row r="646" spans="1:4" s="197" customFormat="1" outlineLevel="2" x14ac:dyDescent="0.25">
      <c r="A646" s="138"/>
      <c r="B646" s="142" t="s">
        <v>57</v>
      </c>
      <c r="C646" s="138" t="s">
        <v>4</v>
      </c>
      <c r="D646" s="170">
        <v>2.0499999999999998</v>
      </c>
    </row>
    <row r="647" spans="1:4" s="197" customFormat="1" outlineLevel="2" x14ac:dyDescent="0.25">
      <c r="A647" s="138"/>
      <c r="B647" s="142" t="s">
        <v>333</v>
      </c>
      <c r="C647" s="138" t="s">
        <v>4</v>
      </c>
      <c r="D647" s="170">
        <f>D646*1.015</f>
        <v>2.0807499999999997</v>
      </c>
    </row>
    <row r="648" spans="1:4" s="88" customFormat="1" x14ac:dyDescent="0.2">
      <c r="A648" s="206" t="s">
        <v>432</v>
      </c>
      <c r="B648" s="207"/>
      <c r="C648" s="152"/>
      <c r="D648" s="21"/>
    </row>
    <row r="649" spans="1:4" s="88" customFormat="1" outlineLevel="1" x14ac:dyDescent="0.2">
      <c r="A649" s="148" t="s">
        <v>433</v>
      </c>
      <c r="B649" s="153" t="s">
        <v>447</v>
      </c>
      <c r="C649" s="148" t="s">
        <v>4</v>
      </c>
      <c r="D649" s="43">
        <f>D656</f>
        <v>29.629999999999995</v>
      </c>
    </row>
    <row r="650" spans="1:4" s="197" customFormat="1" outlineLevel="2" x14ac:dyDescent="0.25">
      <c r="A650" s="138"/>
      <c r="B650" s="139" t="s">
        <v>20</v>
      </c>
      <c r="C650" s="138" t="s">
        <v>11</v>
      </c>
      <c r="D650" s="150">
        <f>D651</f>
        <v>43.56</v>
      </c>
    </row>
    <row r="651" spans="1:4" s="197" customFormat="1" outlineLevel="2" x14ac:dyDescent="0.25">
      <c r="A651" s="140"/>
      <c r="B651" s="141" t="s">
        <v>326</v>
      </c>
      <c r="C651" s="140" t="s">
        <v>11</v>
      </c>
      <c r="D651" s="150">
        <v>43.56</v>
      </c>
    </row>
    <row r="652" spans="1:4" s="197" customFormat="1" outlineLevel="2" x14ac:dyDescent="0.25">
      <c r="A652" s="138"/>
      <c r="B652" s="142" t="s">
        <v>125</v>
      </c>
      <c r="C652" s="138" t="s">
        <v>9</v>
      </c>
      <c r="D652" s="180">
        <f>D653+D654+D655</f>
        <v>6.5570000000000004</v>
      </c>
    </row>
    <row r="653" spans="1:4" s="197" customFormat="1" outlineLevel="2" x14ac:dyDescent="0.25">
      <c r="A653" s="138"/>
      <c r="B653" s="142" t="s">
        <v>38</v>
      </c>
      <c r="C653" s="138" t="s">
        <v>9</v>
      </c>
      <c r="D653" s="180">
        <f>0.25-0.132</f>
        <v>0.11799999999999999</v>
      </c>
    </row>
    <row r="654" spans="1:4" s="197" customFormat="1" outlineLevel="2" x14ac:dyDescent="0.25">
      <c r="A654" s="138"/>
      <c r="B654" s="142" t="s">
        <v>39</v>
      </c>
      <c r="C654" s="138" t="s">
        <v>9</v>
      </c>
      <c r="D654" s="180">
        <f>6.5-3.018</f>
        <v>3.4820000000000002</v>
      </c>
    </row>
    <row r="655" spans="1:4" s="197" customFormat="1" outlineLevel="2" x14ac:dyDescent="0.25">
      <c r="A655" s="138"/>
      <c r="B655" s="142" t="s">
        <v>40</v>
      </c>
      <c r="C655" s="138" t="s">
        <v>9</v>
      </c>
      <c r="D655" s="180">
        <f>3-0.043</f>
        <v>2.9569999999999999</v>
      </c>
    </row>
    <row r="656" spans="1:4" s="197" customFormat="1" outlineLevel="2" x14ac:dyDescent="0.25">
      <c r="A656" s="138"/>
      <c r="B656" s="142" t="s">
        <v>283</v>
      </c>
      <c r="C656" s="138" t="s">
        <v>4</v>
      </c>
      <c r="D656" s="170">
        <f>66.1-36.47</f>
        <v>29.629999999999995</v>
      </c>
    </row>
    <row r="657" spans="1:4" s="197" customFormat="1" outlineLevel="2" x14ac:dyDescent="0.25">
      <c r="A657" s="138"/>
      <c r="B657" s="142" t="s">
        <v>319</v>
      </c>
      <c r="C657" s="138" t="s">
        <v>4</v>
      </c>
      <c r="D657" s="170">
        <f>D656*1.015</f>
        <v>30.074449999999992</v>
      </c>
    </row>
    <row r="658" spans="1:4" s="197" customFormat="1" outlineLevel="1" x14ac:dyDescent="0.25">
      <c r="A658" s="144" t="s">
        <v>484</v>
      </c>
      <c r="B658" s="147" t="s">
        <v>483</v>
      </c>
      <c r="C658" s="144" t="s">
        <v>4</v>
      </c>
      <c r="D658" s="61">
        <f>D664</f>
        <v>3.9000000000000004</v>
      </c>
    </row>
    <row r="659" spans="1:4" s="197" customFormat="1" outlineLevel="2" x14ac:dyDescent="0.25">
      <c r="A659" s="138"/>
      <c r="B659" s="142" t="s">
        <v>126</v>
      </c>
      <c r="C659" s="138" t="s">
        <v>11</v>
      </c>
      <c r="D659" s="150">
        <f>D660</f>
        <v>5.27</v>
      </c>
    </row>
    <row r="660" spans="1:4" s="197" customFormat="1" outlineLevel="2" x14ac:dyDescent="0.25">
      <c r="A660" s="140"/>
      <c r="B660" s="141" t="s">
        <v>326</v>
      </c>
      <c r="C660" s="140" t="s">
        <v>11</v>
      </c>
      <c r="D660" s="150">
        <v>5.27</v>
      </c>
    </row>
    <row r="661" spans="1:4" s="197" customFormat="1" outlineLevel="2" x14ac:dyDescent="0.25">
      <c r="A661" s="138"/>
      <c r="B661" s="142" t="s">
        <v>46</v>
      </c>
      <c r="C661" s="138" t="s">
        <v>9</v>
      </c>
      <c r="D661" s="170">
        <f>D662+D663</f>
        <v>2.1959999999999997</v>
      </c>
    </row>
    <row r="662" spans="1:4" s="197" customFormat="1" outlineLevel="2" x14ac:dyDescent="0.25">
      <c r="A662" s="138"/>
      <c r="B662" s="142" t="s">
        <v>40</v>
      </c>
      <c r="C662" s="138" t="s">
        <v>9</v>
      </c>
      <c r="D662" s="170">
        <v>2.15</v>
      </c>
    </row>
    <row r="663" spans="1:4" s="197" customFormat="1" outlineLevel="2" x14ac:dyDescent="0.25">
      <c r="A663" s="138"/>
      <c r="B663" s="142" t="s">
        <v>38</v>
      </c>
      <c r="C663" s="138" t="s">
        <v>9</v>
      </c>
      <c r="D663" s="170">
        <f>0.32-0.274</f>
        <v>4.5999999999999985E-2</v>
      </c>
    </row>
    <row r="664" spans="1:4" s="197" customFormat="1" outlineLevel="2" x14ac:dyDescent="0.25">
      <c r="A664" s="138"/>
      <c r="B664" s="142" t="s">
        <v>72</v>
      </c>
      <c r="C664" s="138" t="s">
        <v>4</v>
      </c>
      <c r="D664" s="170">
        <f>7.9-4</f>
        <v>3.9000000000000004</v>
      </c>
    </row>
    <row r="665" spans="1:4" s="197" customFormat="1" outlineLevel="2" x14ac:dyDescent="0.25">
      <c r="A665" s="138"/>
      <c r="B665" s="142" t="s">
        <v>333</v>
      </c>
      <c r="C665" s="138" t="s">
        <v>4</v>
      </c>
      <c r="D665" s="170">
        <f>D664*1.015</f>
        <v>3.9584999999999999</v>
      </c>
    </row>
    <row r="666" spans="1:4" s="197" customFormat="1" outlineLevel="1" x14ac:dyDescent="0.25">
      <c r="A666" s="144" t="s">
        <v>434</v>
      </c>
      <c r="B666" s="147" t="s">
        <v>485</v>
      </c>
      <c r="C666" s="144" t="s">
        <v>4</v>
      </c>
      <c r="D666" s="61">
        <f>D675</f>
        <v>37.1</v>
      </c>
    </row>
    <row r="667" spans="1:4" s="197" customFormat="1" outlineLevel="2" x14ac:dyDescent="0.25">
      <c r="A667" s="138"/>
      <c r="B667" s="142" t="s">
        <v>50</v>
      </c>
      <c r="C667" s="138" t="s">
        <v>11</v>
      </c>
      <c r="D667" s="150">
        <f>D668</f>
        <v>19.510000000000002</v>
      </c>
    </row>
    <row r="668" spans="1:4" s="197" customFormat="1" outlineLevel="2" x14ac:dyDescent="0.25">
      <c r="A668" s="140"/>
      <c r="B668" s="141" t="s">
        <v>326</v>
      </c>
      <c r="C668" s="140" t="s">
        <v>11</v>
      </c>
      <c r="D668" s="150">
        <v>19.510000000000002</v>
      </c>
    </row>
    <row r="669" spans="1:4" s="197" customFormat="1" outlineLevel="2" x14ac:dyDescent="0.25">
      <c r="A669" s="140"/>
      <c r="B669" s="141" t="s">
        <v>335</v>
      </c>
      <c r="C669" s="140" t="s">
        <v>135</v>
      </c>
      <c r="D669" s="150">
        <v>0.85</v>
      </c>
    </row>
    <row r="670" spans="1:4" s="197" customFormat="1" outlineLevel="2" x14ac:dyDescent="0.25">
      <c r="A670" s="138"/>
      <c r="B670" s="142" t="s">
        <v>51</v>
      </c>
      <c r="C670" s="138" t="s">
        <v>9</v>
      </c>
      <c r="D670" s="151">
        <f>D671+D672+D673+D674</f>
        <v>8.2850000000000001</v>
      </c>
    </row>
    <row r="671" spans="1:4" s="197" customFormat="1" outlineLevel="2" x14ac:dyDescent="0.25">
      <c r="A671" s="138"/>
      <c r="B671" s="142" t="s">
        <v>337</v>
      </c>
      <c r="C671" s="138" t="s">
        <v>9</v>
      </c>
      <c r="D671" s="151">
        <v>8.8999999999999996E-2</v>
      </c>
    </row>
    <row r="672" spans="1:4" s="197" customFormat="1" outlineLevel="2" x14ac:dyDescent="0.25">
      <c r="A672" s="169"/>
      <c r="B672" s="142" t="s">
        <v>52</v>
      </c>
      <c r="C672" s="138" t="s">
        <v>9</v>
      </c>
      <c r="D672" s="170">
        <f>7.75-2.026</f>
        <v>5.7240000000000002</v>
      </c>
    </row>
    <row r="673" spans="1:4" s="197" customFormat="1" outlineLevel="2" x14ac:dyDescent="0.25">
      <c r="A673" s="169"/>
      <c r="B673" s="142" t="s">
        <v>53</v>
      </c>
      <c r="C673" s="138" t="s">
        <v>9</v>
      </c>
      <c r="D673" s="170">
        <f>2.1-0.378</f>
        <v>1.722</v>
      </c>
    </row>
    <row r="674" spans="1:4" s="197" customFormat="1" outlineLevel="2" x14ac:dyDescent="0.25">
      <c r="A674" s="169"/>
      <c r="B674" s="142" t="s">
        <v>38</v>
      </c>
      <c r="C674" s="138" t="s">
        <v>9</v>
      </c>
      <c r="D674" s="170">
        <v>0.75</v>
      </c>
    </row>
    <row r="675" spans="1:4" s="197" customFormat="1" outlineLevel="2" x14ac:dyDescent="0.25">
      <c r="A675" s="169"/>
      <c r="B675" s="142" t="s">
        <v>54</v>
      </c>
      <c r="C675" s="138" t="s">
        <v>4</v>
      </c>
      <c r="D675" s="170">
        <f>71.2-34.1</f>
        <v>37.1</v>
      </c>
    </row>
    <row r="676" spans="1:4" s="197" customFormat="1" outlineLevel="2" x14ac:dyDescent="0.25">
      <c r="A676" s="169"/>
      <c r="B676" s="168" t="s">
        <v>333</v>
      </c>
      <c r="C676" s="169" t="s">
        <v>4</v>
      </c>
      <c r="D676" s="170">
        <f>D675*1.015</f>
        <v>37.656500000000001</v>
      </c>
    </row>
    <row r="677" spans="1:4" s="197" customFormat="1" outlineLevel="1" x14ac:dyDescent="0.25">
      <c r="A677" s="144" t="s">
        <v>435</v>
      </c>
      <c r="B677" s="147" t="s">
        <v>486</v>
      </c>
      <c r="C677" s="144" t="s">
        <v>4</v>
      </c>
      <c r="D677" s="61">
        <f>D683</f>
        <v>7.95</v>
      </c>
    </row>
    <row r="678" spans="1:4" s="197" customFormat="1" outlineLevel="2" x14ac:dyDescent="0.25">
      <c r="A678" s="138"/>
      <c r="B678" s="142" t="s">
        <v>55</v>
      </c>
      <c r="C678" s="138" t="s">
        <v>11</v>
      </c>
      <c r="D678" s="150">
        <v>11.46</v>
      </c>
    </row>
    <row r="679" spans="1:4" s="197" customFormat="1" outlineLevel="2" x14ac:dyDescent="0.25">
      <c r="A679" s="140"/>
      <c r="B679" s="141" t="s">
        <v>326</v>
      </c>
      <c r="C679" s="140" t="s">
        <v>11</v>
      </c>
      <c r="D679" s="150">
        <v>11.46</v>
      </c>
    </row>
    <row r="680" spans="1:4" s="197" customFormat="1" outlineLevel="2" x14ac:dyDescent="0.25">
      <c r="A680" s="138"/>
      <c r="B680" s="142" t="s">
        <v>56</v>
      </c>
      <c r="C680" s="138" t="s">
        <v>9</v>
      </c>
      <c r="D680" s="170">
        <f>D681+D682</f>
        <v>1.4180000000000001</v>
      </c>
    </row>
    <row r="681" spans="1:4" s="197" customFormat="1" outlineLevel="2" x14ac:dyDescent="0.25">
      <c r="A681" s="138"/>
      <c r="B681" s="142" t="s">
        <v>39</v>
      </c>
      <c r="C681" s="138" t="s">
        <v>9</v>
      </c>
      <c r="D681" s="170">
        <f>1.5-0.222</f>
        <v>1.278</v>
      </c>
    </row>
    <row r="682" spans="1:4" s="197" customFormat="1" outlineLevel="2" x14ac:dyDescent="0.25">
      <c r="A682" s="138"/>
      <c r="B682" s="142" t="s">
        <v>38</v>
      </c>
      <c r="C682" s="138" t="s">
        <v>9</v>
      </c>
      <c r="D682" s="170">
        <f>0.2-0.06</f>
        <v>0.14000000000000001</v>
      </c>
    </row>
    <row r="683" spans="1:4" s="197" customFormat="1" outlineLevel="2" x14ac:dyDescent="0.25">
      <c r="A683" s="138"/>
      <c r="B683" s="142" t="s">
        <v>57</v>
      </c>
      <c r="C683" s="138" t="s">
        <v>4</v>
      </c>
      <c r="D683" s="170">
        <f>10-2.05</f>
        <v>7.95</v>
      </c>
    </row>
    <row r="684" spans="1:4" s="197" customFormat="1" outlineLevel="2" x14ac:dyDescent="0.25">
      <c r="A684" s="138"/>
      <c r="B684" s="142" t="s">
        <v>333</v>
      </c>
      <c r="C684" s="138" t="s">
        <v>4</v>
      </c>
      <c r="D684" s="170">
        <f>D683*1.015</f>
        <v>8.0692500000000003</v>
      </c>
    </row>
    <row r="685" spans="1:4" s="197" customFormat="1" outlineLevel="1" x14ac:dyDescent="0.25">
      <c r="A685" s="144" t="s">
        <v>436</v>
      </c>
      <c r="B685" s="147" t="s">
        <v>487</v>
      </c>
      <c r="C685" s="144" t="s">
        <v>4</v>
      </c>
      <c r="D685" s="61">
        <f>D691</f>
        <v>2.1</v>
      </c>
    </row>
    <row r="686" spans="1:4" s="197" customFormat="1" outlineLevel="2" x14ac:dyDescent="0.25">
      <c r="A686" s="138"/>
      <c r="B686" s="142" t="s">
        <v>58</v>
      </c>
      <c r="C686" s="138" t="s">
        <v>11</v>
      </c>
      <c r="D686" s="170">
        <f>D687</f>
        <v>0.08</v>
      </c>
    </row>
    <row r="687" spans="1:4" s="197" customFormat="1" outlineLevel="2" x14ac:dyDescent="0.25">
      <c r="A687" s="140"/>
      <c r="B687" s="141" t="s">
        <v>326</v>
      </c>
      <c r="C687" s="140" t="s">
        <v>11</v>
      </c>
      <c r="D687" s="173">
        <v>0.08</v>
      </c>
    </row>
    <row r="688" spans="1:4" s="197" customFormat="1" outlineLevel="2" x14ac:dyDescent="0.25">
      <c r="A688" s="138"/>
      <c r="B688" s="142" t="s">
        <v>73</v>
      </c>
      <c r="C688" s="138" t="s">
        <v>9</v>
      </c>
      <c r="D688" s="170">
        <f>D689+D690</f>
        <v>0.23499999999999999</v>
      </c>
    </row>
    <row r="689" spans="1:4" s="197" customFormat="1" outlineLevel="2" x14ac:dyDescent="0.25">
      <c r="A689" s="138"/>
      <c r="B689" s="142" t="s">
        <v>39</v>
      </c>
      <c r="C689" s="138" t="s">
        <v>9</v>
      </c>
      <c r="D689" s="170">
        <v>0.22</v>
      </c>
    </row>
    <row r="690" spans="1:4" s="197" customFormat="1" outlineLevel="2" x14ac:dyDescent="0.25">
      <c r="A690" s="169"/>
      <c r="B690" s="168" t="s">
        <v>38</v>
      </c>
      <c r="C690" s="169" t="s">
        <v>9</v>
      </c>
      <c r="D690" s="170">
        <v>1.4999999999999999E-2</v>
      </c>
    </row>
    <row r="691" spans="1:4" s="197" customFormat="1" outlineLevel="2" x14ac:dyDescent="0.25">
      <c r="A691" s="169"/>
      <c r="B691" s="168" t="s">
        <v>60</v>
      </c>
      <c r="C691" s="169" t="s">
        <v>4</v>
      </c>
      <c r="D691" s="170">
        <v>2.1</v>
      </c>
    </row>
    <row r="692" spans="1:4" s="197" customFormat="1" outlineLevel="2" x14ac:dyDescent="0.25">
      <c r="A692" s="169"/>
      <c r="B692" s="168" t="s">
        <v>333</v>
      </c>
      <c r="C692" s="169" t="s">
        <v>4</v>
      </c>
      <c r="D692" s="170">
        <f>D691*1.015</f>
        <v>2.1315</v>
      </c>
    </row>
    <row r="693" spans="1:4" x14ac:dyDescent="0.2">
      <c r="A693" s="206" t="s">
        <v>438</v>
      </c>
      <c r="B693" s="207"/>
      <c r="C693" s="40"/>
      <c r="D693" s="89"/>
    </row>
    <row r="694" spans="1:4" ht="30.75" customHeight="1" outlineLevel="1" x14ac:dyDescent="0.2">
      <c r="A694" s="27" t="s">
        <v>437</v>
      </c>
      <c r="B694" s="66" t="s">
        <v>306</v>
      </c>
      <c r="C694" s="27" t="s">
        <v>4</v>
      </c>
      <c r="D694" s="28">
        <f>D695</f>
        <v>66.936999999999998</v>
      </c>
    </row>
    <row r="695" spans="1:4" ht="32.25" customHeight="1" outlineLevel="2" x14ac:dyDescent="0.2">
      <c r="A695" s="13"/>
      <c r="B695" s="29" t="s">
        <v>170</v>
      </c>
      <c r="C695" s="30" t="s">
        <v>4</v>
      </c>
      <c r="D695" s="38">
        <v>66.936999999999998</v>
      </c>
    </row>
    <row r="696" spans="1:4" outlineLevel="2" x14ac:dyDescent="0.2">
      <c r="A696" s="13"/>
      <c r="B696" s="31" t="s">
        <v>137</v>
      </c>
      <c r="C696" s="32" t="s">
        <v>135</v>
      </c>
      <c r="D696" s="37">
        <v>42</v>
      </c>
    </row>
    <row r="697" spans="1:4" outlineLevel="2" x14ac:dyDescent="0.2">
      <c r="A697" s="13"/>
      <c r="B697" s="31" t="s">
        <v>138</v>
      </c>
      <c r="C697" s="32" t="s">
        <v>135</v>
      </c>
      <c r="D697" s="37">
        <v>3</v>
      </c>
    </row>
    <row r="698" spans="1:4" outlineLevel="2" x14ac:dyDescent="0.2">
      <c r="A698" s="13"/>
      <c r="B698" s="31" t="s">
        <v>139</v>
      </c>
      <c r="C698" s="32" t="s">
        <v>135</v>
      </c>
      <c r="D698" s="37">
        <v>1</v>
      </c>
    </row>
    <row r="699" spans="1:4" outlineLevel="2" x14ac:dyDescent="0.2">
      <c r="A699" s="13"/>
      <c r="B699" s="31" t="s">
        <v>140</v>
      </c>
      <c r="C699" s="32" t="s">
        <v>135</v>
      </c>
      <c r="D699" s="37">
        <v>3</v>
      </c>
    </row>
    <row r="700" spans="1:4" outlineLevel="2" x14ac:dyDescent="0.2">
      <c r="A700" s="13"/>
      <c r="B700" s="31" t="s">
        <v>141</v>
      </c>
      <c r="C700" s="32" t="s">
        <v>135</v>
      </c>
      <c r="D700" s="37">
        <v>1</v>
      </c>
    </row>
    <row r="701" spans="1:4" outlineLevel="2" x14ac:dyDescent="0.2">
      <c r="A701" s="13"/>
      <c r="B701" s="31" t="s">
        <v>142</v>
      </c>
      <c r="C701" s="32" t="s">
        <v>135</v>
      </c>
      <c r="D701" s="37">
        <v>4</v>
      </c>
    </row>
    <row r="702" spans="1:4" outlineLevel="2" x14ac:dyDescent="0.2">
      <c r="A702" s="13"/>
      <c r="B702" s="31" t="s">
        <v>143</v>
      </c>
      <c r="C702" s="32" t="s">
        <v>135</v>
      </c>
      <c r="D702" s="37">
        <v>4</v>
      </c>
    </row>
    <row r="703" spans="1:4" outlineLevel="2" x14ac:dyDescent="0.2">
      <c r="A703" s="13"/>
      <c r="B703" s="31" t="s">
        <v>144</v>
      </c>
      <c r="C703" s="32" t="s">
        <v>135</v>
      </c>
      <c r="D703" s="37">
        <v>9</v>
      </c>
    </row>
    <row r="704" spans="1:4" outlineLevel="2" x14ac:dyDescent="0.2">
      <c r="A704" s="13"/>
      <c r="B704" s="31" t="s">
        <v>145</v>
      </c>
      <c r="C704" s="32" t="s">
        <v>135</v>
      </c>
      <c r="D704" s="37">
        <v>5</v>
      </c>
    </row>
    <row r="705" spans="1:4" outlineLevel="2" x14ac:dyDescent="0.2">
      <c r="A705" s="13"/>
      <c r="B705" s="31" t="s">
        <v>146</v>
      </c>
      <c r="C705" s="32" t="s">
        <v>135</v>
      </c>
      <c r="D705" s="37">
        <v>21</v>
      </c>
    </row>
    <row r="706" spans="1:4" outlineLevel="2" x14ac:dyDescent="0.2">
      <c r="A706" s="13"/>
      <c r="B706" s="31" t="s">
        <v>147</v>
      </c>
      <c r="C706" s="32" t="s">
        <v>135</v>
      </c>
      <c r="D706" s="37">
        <v>1</v>
      </c>
    </row>
    <row r="707" spans="1:4" outlineLevel="2" x14ac:dyDescent="0.2">
      <c r="A707" s="13"/>
      <c r="B707" s="31" t="s">
        <v>148</v>
      </c>
      <c r="C707" s="32" t="s">
        <v>135</v>
      </c>
      <c r="D707" s="37">
        <v>1</v>
      </c>
    </row>
    <row r="708" spans="1:4" outlineLevel="2" x14ac:dyDescent="0.2">
      <c r="A708" s="13"/>
      <c r="B708" s="31" t="s">
        <v>149</v>
      </c>
      <c r="C708" s="32" t="s">
        <v>135</v>
      </c>
      <c r="D708" s="37">
        <v>1</v>
      </c>
    </row>
    <row r="709" spans="1:4" outlineLevel="2" x14ac:dyDescent="0.2">
      <c r="A709" s="13"/>
      <c r="B709" s="31" t="s">
        <v>144</v>
      </c>
      <c r="C709" s="32" t="s">
        <v>135</v>
      </c>
      <c r="D709" s="37">
        <v>9</v>
      </c>
    </row>
    <row r="710" spans="1:4" outlineLevel="2" x14ac:dyDescent="0.2">
      <c r="A710" s="13"/>
      <c r="B710" s="31" t="s">
        <v>145</v>
      </c>
      <c r="C710" s="32" t="s">
        <v>135</v>
      </c>
      <c r="D710" s="37">
        <v>5</v>
      </c>
    </row>
    <row r="711" spans="1:4" outlineLevel="2" x14ac:dyDescent="0.2">
      <c r="A711" s="13"/>
      <c r="B711" s="31" t="s">
        <v>150</v>
      </c>
      <c r="C711" s="32" t="s">
        <v>4</v>
      </c>
      <c r="D711" s="37">
        <f>0.2*D695</f>
        <v>13.3874</v>
      </c>
    </row>
    <row r="712" spans="1:4" outlineLevel="1" x14ac:dyDescent="0.2">
      <c r="A712" s="16" t="s">
        <v>439</v>
      </c>
      <c r="B712" s="33" t="s">
        <v>490</v>
      </c>
      <c r="C712" s="34" t="s">
        <v>4</v>
      </c>
      <c r="D712" s="35">
        <f>D713</f>
        <v>549.74</v>
      </c>
    </row>
    <row r="713" spans="1:4" outlineLevel="2" x14ac:dyDescent="0.2">
      <c r="A713" s="13"/>
      <c r="B713" s="36" t="s">
        <v>151</v>
      </c>
      <c r="C713" s="30" t="s">
        <v>4</v>
      </c>
      <c r="D713" s="38">
        <v>549.74</v>
      </c>
    </row>
    <row r="714" spans="1:4" outlineLevel="2" x14ac:dyDescent="0.2">
      <c r="A714" s="13"/>
      <c r="B714" s="31" t="s">
        <v>152</v>
      </c>
      <c r="C714" s="32" t="s">
        <v>4</v>
      </c>
      <c r="D714" s="37">
        <f>D713*1.1</f>
        <v>604.71400000000006</v>
      </c>
    </row>
    <row r="715" spans="1:4" ht="15.75" customHeight="1" outlineLevel="1" x14ac:dyDescent="0.2">
      <c r="A715" s="134" t="s">
        <v>440</v>
      </c>
      <c r="B715" s="124" t="s">
        <v>400</v>
      </c>
      <c r="C715" s="164" t="s">
        <v>4</v>
      </c>
      <c r="D715" s="200">
        <f>D716+D724</f>
        <v>259.67</v>
      </c>
    </row>
    <row r="716" spans="1:4" s="75" customFormat="1" outlineLevel="3" x14ac:dyDescent="0.2">
      <c r="A716" s="27"/>
      <c r="B716" s="124" t="s">
        <v>507</v>
      </c>
      <c r="C716" s="164" t="s">
        <v>4</v>
      </c>
      <c r="D716" s="201">
        <v>239.4</v>
      </c>
    </row>
    <row r="717" spans="1:4" s="76" customFormat="1" outlineLevel="3" x14ac:dyDescent="0.2">
      <c r="A717" s="135"/>
      <c r="B717" s="125" t="s">
        <v>356</v>
      </c>
      <c r="C717" s="165" t="s">
        <v>4</v>
      </c>
      <c r="D717" s="185">
        <v>26.33</v>
      </c>
    </row>
    <row r="718" spans="1:4" s="76" customFormat="1" outlineLevel="3" x14ac:dyDescent="0.2">
      <c r="A718" s="135"/>
      <c r="B718" s="125" t="s">
        <v>357</v>
      </c>
      <c r="C718" s="165" t="s">
        <v>4</v>
      </c>
      <c r="D718" s="185">
        <v>220</v>
      </c>
    </row>
    <row r="719" spans="1:4" s="75" customFormat="1" outlineLevel="3" x14ac:dyDescent="0.2">
      <c r="A719" s="27"/>
      <c r="B719" s="124" t="s">
        <v>358</v>
      </c>
      <c r="C719" s="164" t="s">
        <v>9</v>
      </c>
      <c r="D719" s="186">
        <v>0.62</v>
      </c>
    </row>
    <row r="720" spans="1:4" s="76" customFormat="1" outlineLevel="3" x14ac:dyDescent="0.2">
      <c r="A720" s="135"/>
      <c r="B720" s="125" t="s">
        <v>379</v>
      </c>
      <c r="C720" s="166" t="s">
        <v>9</v>
      </c>
      <c r="D720" s="185">
        <v>0.62</v>
      </c>
    </row>
    <row r="721" spans="1:5" s="75" customFormat="1" outlineLevel="3" x14ac:dyDescent="0.2">
      <c r="A721" s="27"/>
      <c r="B721" s="124" t="s">
        <v>376</v>
      </c>
      <c r="C721" s="164" t="s">
        <v>9</v>
      </c>
      <c r="D721" s="186">
        <v>0.46</v>
      </c>
    </row>
    <row r="722" spans="1:5" s="76" customFormat="1" outlineLevel="3" x14ac:dyDescent="0.2">
      <c r="A722" s="135"/>
      <c r="B722" s="125" t="s">
        <v>378</v>
      </c>
      <c r="C722" s="165" t="s">
        <v>360</v>
      </c>
      <c r="D722" s="187">
        <v>242.38</v>
      </c>
    </row>
    <row r="723" spans="1:5" s="76" customFormat="1" outlineLevel="3" x14ac:dyDescent="0.2">
      <c r="A723" s="135"/>
      <c r="B723" s="125" t="s">
        <v>359</v>
      </c>
      <c r="C723" s="165" t="s">
        <v>153</v>
      </c>
      <c r="D723" s="187">
        <v>121.19</v>
      </c>
    </row>
    <row r="724" spans="1:5" s="75" customFormat="1" ht="25.5" outlineLevel="2" x14ac:dyDescent="0.2">
      <c r="A724" s="27"/>
      <c r="B724" s="124" t="s">
        <v>513</v>
      </c>
      <c r="C724" s="164" t="s">
        <v>4</v>
      </c>
      <c r="D724" s="35">
        <v>20.27</v>
      </c>
    </row>
    <row r="725" spans="1:5" s="76" customFormat="1" outlineLevel="2" x14ac:dyDescent="0.2">
      <c r="A725" s="135"/>
      <c r="B725" s="125" t="s">
        <v>356</v>
      </c>
      <c r="C725" s="165" t="s">
        <v>4</v>
      </c>
      <c r="D725" s="38">
        <v>0.46600000000000003</v>
      </c>
    </row>
    <row r="726" spans="1:5" s="76" customFormat="1" outlineLevel="2" x14ac:dyDescent="0.2">
      <c r="A726" s="135"/>
      <c r="B726" s="125" t="s">
        <v>362</v>
      </c>
      <c r="C726" s="165" t="s">
        <v>508</v>
      </c>
      <c r="D726" s="38">
        <v>1.014</v>
      </c>
    </row>
    <row r="727" spans="1:5" s="75" customFormat="1" outlineLevel="2" x14ac:dyDescent="0.2">
      <c r="A727" s="27"/>
      <c r="B727" s="124" t="s">
        <v>377</v>
      </c>
      <c r="C727" s="164" t="s">
        <v>4</v>
      </c>
      <c r="D727" s="38">
        <v>2</v>
      </c>
    </row>
    <row r="728" spans="1:5" s="76" customFormat="1" outlineLevel="2" x14ac:dyDescent="0.2">
      <c r="A728" s="135"/>
      <c r="B728" s="125" t="s">
        <v>364</v>
      </c>
      <c r="C728" s="165" t="s">
        <v>4</v>
      </c>
      <c r="D728" s="38">
        <v>2.0299999999999998</v>
      </c>
    </row>
    <row r="729" spans="1:5" s="76" customFormat="1" outlineLevel="2" x14ac:dyDescent="0.2">
      <c r="A729" s="135"/>
      <c r="B729" s="126" t="s">
        <v>365</v>
      </c>
      <c r="C729" s="165" t="s">
        <v>9</v>
      </c>
      <c r="D729" s="38">
        <v>3.2509999999999997E-2</v>
      </c>
    </row>
    <row r="730" spans="1:5" s="76" customFormat="1" outlineLevel="2" x14ac:dyDescent="0.2">
      <c r="A730" s="135"/>
      <c r="B730" s="126" t="s">
        <v>106</v>
      </c>
      <c r="C730" s="165" t="s">
        <v>9</v>
      </c>
      <c r="D730" s="38">
        <v>3.09E-2</v>
      </c>
    </row>
    <row r="731" spans="1:5" s="76" customFormat="1" ht="16.5" customHeight="1" outlineLevel="2" x14ac:dyDescent="0.2">
      <c r="A731" s="135"/>
      <c r="B731" s="126" t="s">
        <v>52</v>
      </c>
      <c r="C731" s="165" t="s">
        <v>9</v>
      </c>
      <c r="D731" s="38">
        <v>1.374E-2</v>
      </c>
      <c r="E731" s="162"/>
    </row>
    <row r="732" spans="1:5" s="76" customFormat="1" outlineLevel="2" x14ac:dyDescent="0.2">
      <c r="A732" s="135"/>
      <c r="B732" s="125" t="s">
        <v>366</v>
      </c>
      <c r="C732" s="165" t="s">
        <v>9</v>
      </c>
      <c r="D732" s="38">
        <v>6.5119999999999997E-2</v>
      </c>
    </row>
    <row r="733" spans="1:5" s="76" customFormat="1" outlineLevel="2" x14ac:dyDescent="0.2">
      <c r="A733" s="135"/>
      <c r="B733" s="125" t="s">
        <v>367</v>
      </c>
      <c r="C733" s="165" t="s">
        <v>11</v>
      </c>
      <c r="D733" s="38">
        <v>3.66</v>
      </c>
    </row>
    <row r="734" spans="1:5" s="75" customFormat="1" ht="25.5" outlineLevel="2" x14ac:dyDescent="0.2">
      <c r="A734" s="27"/>
      <c r="B734" s="124" t="s">
        <v>368</v>
      </c>
      <c r="C734" s="164" t="s">
        <v>4</v>
      </c>
      <c r="D734" s="38">
        <v>2.6509999999999998</v>
      </c>
    </row>
    <row r="735" spans="1:5" s="76" customFormat="1" ht="25.5" outlineLevel="2" x14ac:dyDescent="0.2">
      <c r="A735" s="135"/>
      <c r="B735" s="125" t="s">
        <v>369</v>
      </c>
      <c r="C735" s="165" t="s">
        <v>4</v>
      </c>
      <c r="D735" s="38">
        <v>2.5979799999999997</v>
      </c>
    </row>
    <row r="736" spans="1:5" x14ac:dyDescent="0.2">
      <c r="A736" s="206" t="s">
        <v>441</v>
      </c>
      <c r="B736" s="207"/>
      <c r="C736" s="40"/>
      <c r="D736" s="89"/>
    </row>
    <row r="737" spans="1:4" ht="15.75" customHeight="1" outlineLevel="1" x14ac:dyDescent="0.2">
      <c r="A737" s="134" t="s">
        <v>442</v>
      </c>
      <c r="B737" s="124" t="s">
        <v>402</v>
      </c>
      <c r="C737" s="164" t="s">
        <v>4</v>
      </c>
      <c r="D737" s="170">
        <f>D738</f>
        <v>623.69000000000005</v>
      </c>
    </row>
    <row r="738" spans="1:4" s="75" customFormat="1" ht="25.5" outlineLevel="2" x14ac:dyDescent="0.2">
      <c r="A738" s="27"/>
      <c r="B738" s="124" t="s">
        <v>511</v>
      </c>
      <c r="C738" s="164" t="s">
        <v>4</v>
      </c>
      <c r="D738" s="170">
        <v>623.69000000000005</v>
      </c>
    </row>
    <row r="739" spans="1:4" s="76" customFormat="1" outlineLevel="2" x14ac:dyDescent="0.2">
      <c r="A739" s="135"/>
      <c r="B739" s="125" t="s">
        <v>356</v>
      </c>
      <c r="C739" s="165" t="s">
        <v>4</v>
      </c>
      <c r="D739" s="170">
        <f>D738*0.11</f>
        <v>68.605900000000005</v>
      </c>
    </row>
    <row r="740" spans="1:4" s="76" customFormat="1" outlineLevel="2" x14ac:dyDescent="0.2">
      <c r="A740" s="135"/>
      <c r="B740" s="125" t="s">
        <v>357</v>
      </c>
      <c r="C740" s="165" t="s">
        <v>4</v>
      </c>
      <c r="D740" s="170">
        <f>D738*0.92</f>
        <v>573.79480000000012</v>
      </c>
    </row>
    <row r="741" spans="1:4" s="75" customFormat="1" outlineLevel="2" x14ac:dyDescent="0.2">
      <c r="A741" s="27"/>
      <c r="B741" s="124" t="s">
        <v>358</v>
      </c>
      <c r="C741" s="164" t="s">
        <v>9</v>
      </c>
      <c r="D741" s="180">
        <f>D742</f>
        <v>1.623</v>
      </c>
    </row>
    <row r="742" spans="1:4" s="76" customFormat="1" outlineLevel="2" x14ac:dyDescent="0.2">
      <c r="A742" s="135"/>
      <c r="B742" s="125" t="s">
        <v>379</v>
      </c>
      <c r="C742" s="166" t="s">
        <v>9</v>
      </c>
      <c r="D742" s="180">
        <v>1.623</v>
      </c>
    </row>
    <row r="743" spans="1:4" s="75" customFormat="1" outlineLevel="2" x14ac:dyDescent="0.2">
      <c r="A743" s="27"/>
      <c r="B743" s="124" t="s">
        <v>376</v>
      </c>
      <c r="C743" s="164" t="s">
        <v>9</v>
      </c>
      <c r="D743" s="180">
        <v>0.94899999999999995</v>
      </c>
    </row>
    <row r="744" spans="1:4" s="76" customFormat="1" outlineLevel="2" x14ac:dyDescent="0.2">
      <c r="A744" s="135"/>
      <c r="B744" s="125" t="s">
        <v>378</v>
      </c>
      <c r="C744" s="165" t="s">
        <v>360</v>
      </c>
      <c r="D744" s="170">
        <v>497.2</v>
      </c>
    </row>
    <row r="745" spans="1:4" s="76" customFormat="1" outlineLevel="2" x14ac:dyDescent="0.2">
      <c r="A745" s="135"/>
      <c r="B745" s="125" t="s">
        <v>359</v>
      </c>
      <c r="C745" s="165" t="s">
        <v>153</v>
      </c>
      <c r="D745" s="170">
        <v>246.8</v>
      </c>
    </row>
    <row r="746" spans="1:4" s="75" customFormat="1" outlineLevel="2" x14ac:dyDescent="0.2">
      <c r="A746" s="27"/>
      <c r="B746" s="124" t="s">
        <v>377</v>
      </c>
      <c r="C746" s="164" t="s">
        <v>4</v>
      </c>
      <c r="D746" s="61">
        <v>3.75</v>
      </c>
    </row>
    <row r="747" spans="1:4" s="76" customFormat="1" outlineLevel="2" x14ac:dyDescent="0.2">
      <c r="A747" s="135"/>
      <c r="B747" s="125" t="s">
        <v>364</v>
      </c>
      <c r="C747" s="165" t="s">
        <v>4</v>
      </c>
      <c r="D747" s="170">
        <f>D746*1.015</f>
        <v>3.8062499999999995</v>
      </c>
    </row>
    <row r="748" spans="1:4" s="76" customFormat="1" outlineLevel="2" x14ac:dyDescent="0.2">
      <c r="A748" s="135"/>
      <c r="B748" s="126" t="s">
        <v>365</v>
      </c>
      <c r="C748" s="165" t="s">
        <v>9</v>
      </c>
      <c r="D748" s="123">
        <v>6.1260000000000002E-2</v>
      </c>
    </row>
    <row r="749" spans="1:4" s="76" customFormat="1" outlineLevel="2" x14ac:dyDescent="0.2">
      <c r="A749" s="135"/>
      <c r="B749" s="126" t="s">
        <v>106</v>
      </c>
      <c r="C749" s="165" t="s">
        <v>9</v>
      </c>
      <c r="D749" s="123">
        <v>6.6420000000000007E-2</v>
      </c>
    </row>
    <row r="750" spans="1:4" s="76" customFormat="1" outlineLevel="2" x14ac:dyDescent="0.2">
      <c r="A750" s="135"/>
      <c r="B750" s="125" t="s">
        <v>366</v>
      </c>
      <c r="C750" s="165" t="s">
        <v>9</v>
      </c>
      <c r="D750" s="123">
        <v>0.12792999999999999</v>
      </c>
    </row>
    <row r="751" spans="1:4" s="76" customFormat="1" outlineLevel="2" x14ac:dyDescent="0.2">
      <c r="A751" s="135"/>
      <c r="B751" s="125" t="s">
        <v>367</v>
      </c>
      <c r="C751" s="165" t="s">
        <v>11</v>
      </c>
      <c r="D751" s="170">
        <v>6.86</v>
      </c>
    </row>
    <row r="752" spans="1:4" s="75" customFormat="1" ht="25.5" outlineLevel="2" x14ac:dyDescent="0.2">
      <c r="A752" s="27"/>
      <c r="B752" s="124" t="s">
        <v>368</v>
      </c>
      <c r="C752" s="164" t="s">
        <v>4</v>
      </c>
      <c r="D752" s="79">
        <v>5.41</v>
      </c>
    </row>
    <row r="753" spans="1:4" s="76" customFormat="1" ht="25.5" outlineLevel="2" x14ac:dyDescent="0.2">
      <c r="A753" s="135"/>
      <c r="B753" s="125" t="s">
        <v>369</v>
      </c>
      <c r="C753" s="165" t="s">
        <v>4</v>
      </c>
      <c r="D753" s="77">
        <f>D752*0.98</f>
        <v>5.3018000000000001</v>
      </c>
    </row>
    <row r="754" spans="1:4" s="76" customFormat="1" outlineLevel="1" x14ac:dyDescent="0.2">
      <c r="A754" s="130"/>
      <c r="B754" s="128" t="s">
        <v>415</v>
      </c>
      <c r="C754" s="129"/>
      <c r="D754" s="131"/>
    </row>
    <row r="755" spans="1:4" ht="15.75" customHeight="1" outlineLevel="1" x14ac:dyDescent="0.2">
      <c r="A755" s="134" t="s">
        <v>443</v>
      </c>
      <c r="B755" s="124" t="s">
        <v>404</v>
      </c>
      <c r="C755" s="164" t="s">
        <v>4</v>
      </c>
      <c r="D755" s="61">
        <f>D756</f>
        <v>450.18</v>
      </c>
    </row>
    <row r="756" spans="1:4" s="75" customFormat="1" ht="25.5" outlineLevel="2" x14ac:dyDescent="0.2">
      <c r="A756" s="27"/>
      <c r="B756" s="124" t="s">
        <v>511</v>
      </c>
      <c r="C756" s="164" t="s">
        <v>4</v>
      </c>
      <c r="D756" s="61">
        <v>450.18</v>
      </c>
    </row>
    <row r="757" spans="1:4" s="76" customFormat="1" outlineLevel="2" x14ac:dyDescent="0.2">
      <c r="A757" s="135"/>
      <c r="B757" s="125" t="s">
        <v>356</v>
      </c>
      <c r="C757" s="165" t="s">
        <v>4</v>
      </c>
      <c r="D757" s="74">
        <f>D756*0.11</f>
        <v>49.519800000000004</v>
      </c>
    </row>
    <row r="758" spans="1:4" s="76" customFormat="1" outlineLevel="2" x14ac:dyDescent="0.2">
      <c r="A758" s="135"/>
      <c r="B758" s="125" t="s">
        <v>357</v>
      </c>
      <c r="C758" s="165" t="s">
        <v>4</v>
      </c>
      <c r="D758" s="74">
        <f>D756*0.92</f>
        <v>414.16560000000004</v>
      </c>
    </row>
    <row r="759" spans="1:4" s="75" customFormat="1" outlineLevel="2" x14ac:dyDescent="0.2">
      <c r="A759" s="27"/>
      <c r="B759" s="124" t="s">
        <v>358</v>
      </c>
      <c r="C759" s="164" t="s">
        <v>9</v>
      </c>
      <c r="D759" s="79">
        <f>D760</f>
        <v>1.0740000000000001</v>
      </c>
    </row>
    <row r="760" spans="1:4" s="76" customFormat="1" outlineLevel="2" x14ac:dyDescent="0.2">
      <c r="A760" s="135"/>
      <c r="B760" s="125" t="s">
        <v>379</v>
      </c>
      <c r="C760" s="166" t="s">
        <v>9</v>
      </c>
      <c r="D760" s="77">
        <v>1.0740000000000001</v>
      </c>
    </row>
    <row r="761" spans="1:4" s="75" customFormat="1" outlineLevel="2" x14ac:dyDescent="0.2">
      <c r="A761" s="27"/>
      <c r="B761" s="124" t="s">
        <v>376</v>
      </c>
      <c r="C761" s="164" t="s">
        <v>9</v>
      </c>
      <c r="D761" s="79">
        <v>0.56000000000000005</v>
      </c>
    </row>
    <row r="762" spans="1:4" s="76" customFormat="1" outlineLevel="2" x14ac:dyDescent="0.2">
      <c r="A762" s="135"/>
      <c r="B762" s="125" t="s">
        <v>378</v>
      </c>
      <c r="C762" s="165" t="s">
        <v>360</v>
      </c>
      <c r="D762" s="74">
        <v>292.8</v>
      </c>
    </row>
    <row r="763" spans="1:4" s="76" customFormat="1" outlineLevel="2" x14ac:dyDescent="0.2">
      <c r="A763" s="135"/>
      <c r="B763" s="125" t="s">
        <v>359</v>
      </c>
      <c r="C763" s="165" t="s">
        <v>153</v>
      </c>
      <c r="D763" s="74">
        <v>146.30000000000001</v>
      </c>
    </row>
    <row r="764" spans="1:4" s="75" customFormat="1" outlineLevel="2" x14ac:dyDescent="0.2">
      <c r="A764" s="27"/>
      <c r="B764" s="124" t="s">
        <v>377</v>
      </c>
      <c r="C764" s="164" t="s">
        <v>4</v>
      </c>
      <c r="D764" s="61">
        <v>3.1</v>
      </c>
    </row>
    <row r="765" spans="1:4" s="76" customFormat="1" outlineLevel="2" x14ac:dyDescent="0.2">
      <c r="A765" s="135"/>
      <c r="B765" s="125" t="s">
        <v>364</v>
      </c>
      <c r="C765" s="165" t="s">
        <v>4</v>
      </c>
      <c r="D765" s="74">
        <f>D764*1.015</f>
        <v>3.1464999999999996</v>
      </c>
    </row>
    <row r="766" spans="1:4" s="76" customFormat="1" outlineLevel="2" x14ac:dyDescent="0.2">
      <c r="A766" s="135"/>
      <c r="B766" s="126" t="s">
        <v>365</v>
      </c>
      <c r="C766" s="165" t="s">
        <v>9</v>
      </c>
      <c r="D766" s="78">
        <v>5.0779999999999999E-2</v>
      </c>
    </row>
    <row r="767" spans="1:4" s="76" customFormat="1" outlineLevel="2" x14ac:dyDescent="0.2">
      <c r="A767" s="135"/>
      <c r="B767" s="126" t="s">
        <v>106</v>
      </c>
      <c r="C767" s="165" t="s">
        <v>9</v>
      </c>
      <c r="D767" s="78">
        <v>5.4859999999999999E-2</v>
      </c>
    </row>
    <row r="768" spans="1:4" s="76" customFormat="1" outlineLevel="2" x14ac:dyDescent="0.2">
      <c r="A768" s="135"/>
      <c r="B768" s="125" t="s">
        <v>366</v>
      </c>
      <c r="C768" s="165" t="s">
        <v>9</v>
      </c>
      <c r="D768" s="78">
        <v>0.10568</v>
      </c>
    </row>
    <row r="769" spans="1:5" s="76" customFormat="1" outlineLevel="2" x14ac:dyDescent="0.2">
      <c r="A769" s="135"/>
      <c r="B769" s="125" t="s">
        <v>367</v>
      </c>
      <c r="C769" s="165" t="s">
        <v>11</v>
      </c>
      <c r="D769" s="74">
        <v>5.67</v>
      </c>
    </row>
    <row r="770" spans="1:5" s="75" customFormat="1" ht="25.5" outlineLevel="2" x14ac:dyDescent="0.2">
      <c r="A770" s="27"/>
      <c r="B770" s="124" t="s">
        <v>368</v>
      </c>
      <c r="C770" s="164" t="s">
        <v>4</v>
      </c>
      <c r="D770" s="79">
        <v>4.0999999999999996</v>
      </c>
    </row>
    <row r="771" spans="1:5" s="76" customFormat="1" ht="25.5" outlineLevel="2" x14ac:dyDescent="0.2">
      <c r="A771" s="135"/>
      <c r="B771" s="125" t="s">
        <v>369</v>
      </c>
      <c r="C771" s="165" t="s">
        <v>4</v>
      </c>
      <c r="D771" s="77">
        <f>D770*0.98</f>
        <v>4.0179999999999998</v>
      </c>
    </row>
    <row r="772" spans="1:5" outlineLevel="1" x14ac:dyDescent="0.2">
      <c r="A772" s="127"/>
      <c r="B772" s="132" t="s">
        <v>414</v>
      </c>
      <c r="C772" s="129"/>
      <c r="D772" s="127"/>
    </row>
    <row r="773" spans="1:5" ht="15.75" customHeight="1" outlineLevel="1" x14ac:dyDescent="0.2">
      <c r="A773" s="134" t="s">
        <v>444</v>
      </c>
      <c r="B773" s="124" t="s">
        <v>406</v>
      </c>
      <c r="C773" s="164" t="s">
        <v>4</v>
      </c>
      <c r="D773" s="61">
        <f>D774</f>
        <v>128.99</v>
      </c>
    </row>
    <row r="774" spans="1:5" s="75" customFormat="1" outlineLevel="2" x14ac:dyDescent="0.2">
      <c r="A774" s="27"/>
      <c r="B774" s="124" t="s">
        <v>509</v>
      </c>
      <c r="C774" s="164" t="s">
        <v>4</v>
      </c>
      <c r="D774" s="61">
        <v>128.99</v>
      </c>
    </row>
    <row r="775" spans="1:5" s="76" customFormat="1" outlineLevel="2" x14ac:dyDescent="0.2">
      <c r="A775" s="135"/>
      <c r="B775" s="125" t="s">
        <v>356</v>
      </c>
      <c r="C775" s="165" t="s">
        <v>4</v>
      </c>
      <c r="D775" s="74">
        <f>D774*0.11</f>
        <v>14.1889</v>
      </c>
    </row>
    <row r="776" spans="1:5" s="76" customFormat="1" outlineLevel="2" x14ac:dyDescent="0.2">
      <c r="A776" s="135"/>
      <c r="B776" s="125" t="s">
        <v>357</v>
      </c>
      <c r="C776" s="165" t="s">
        <v>4</v>
      </c>
      <c r="D776" s="74">
        <f>D774*0.92</f>
        <v>118.67080000000001</v>
      </c>
    </row>
    <row r="777" spans="1:5" s="75" customFormat="1" outlineLevel="2" x14ac:dyDescent="0.2">
      <c r="A777" s="27"/>
      <c r="B777" s="124" t="s">
        <v>358</v>
      </c>
      <c r="C777" s="164" t="s">
        <v>9</v>
      </c>
      <c r="D777" s="79">
        <f>D778</f>
        <v>0.3</v>
      </c>
    </row>
    <row r="778" spans="1:5" s="76" customFormat="1" outlineLevel="2" x14ac:dyDescent="0.2">
      <c r="A778" s="135"/>
      <c r="B778" s="125" t="s">
        <v>379</v>
      </c>
      <c r="C778" s="166" t="s">
        <v>9</v>
      </c>
      <c r="D778" s="77">
        <v>0.3</v>
      </c>
    </row>
    <row r="779" spans="1:5" s="75" customFormat="1" outlineLevel="2" x14ac:dyDescent="0.2">
      <c r="A779" s="27"/>
      <c r="B779" s="124" t="s">
        <v>510</v>
      </c>
      <c r="C779" s="164" t="s">
        <v>4</v>
      </c>
      <c r="D779" s="61">
        <v>5.1100000000000003</v>
      </c>
      <c r="E779" s="159"/>
    </row>
    <row r="780" spans="1:5" s="76" customFormat="1" outlineLevel="2" x14ac:dyDescent="0.2">
      <c r="A780" s="135"/>
      <c r="B780" s="125" t="s">
        <v>356</v>
      </c>
      <c r="C780" s="165" t="s">
        <v>4</v>
      </c>
      <c r="D780" s="74">
        <f>D779*0.11</f>
        <v>0.56210000000000004</v>
      </c>
    </row>
    <row r="781" spans="1:5" s="76" customFormat="1" outlineLevel="2" x14ac:dyDescent="0.2">
      <c r="A781" s="135"/>
      <c r="B781" s="125" t="s">
        <v>357</v>
      </c>
      <c r="C781" s="165" t="s">
        <v>4</v>
      </c>
      <c r="D781" s="74">
        <f>D779*0.92</f>
        <v>4.7012000000000009</v>
      </c>
    </row>
    <row r="782" spans="1:5" s="75" customFormat="1" outlineLevel="2" x14ac:dyDescent="0.2">
      <c r="A782" s="27"/>
      <c r="B782" s="124" t="s">
        <v>358</v>
      </c>
      <c r="C782" s="164" t="s">
        <v>9</v>
      </c>
      <c r="D782" s="79">
        <f>D783</f>
        <v>2.5000000000000001E-2</v>
      </c>
    </row>
    <row r="783" spans="1:5" s="76" customFormat="1" outlineLevel="2" x14ac:dyDescent="0.2">
      <c r="A783" s="135"/>
      <c r="B783" s="125" t="s">
        <v>379</v>
      </c>
      <c r="C783" s="166" t="s">
        <v>9</v>
      </c>
      <c r="D783" s="77">
        <v>2.5000000000000001E-2</v>
      </c>
    </row>
    <row r="784" spans="1:5" s="75" customFormat="1" outlineLevel="2" x14ac:dyDescent="0.2">
      <c r="A784" s="27"/>
      <c r="B784" s="124" t="s">
        <v>376</v>
      </c>
      <c r="C784" s="164" t="s">
        <v>9</v>
      </c>
      <c r="D784" s="79">
        <v>0.249</v>
      </c>
    </row>
    <row r="785" spans="1:4" s="76" customFormat="1" outlineLevel="2" x14ac:dyDescent="0.2">
      <c r="A785" s="135"/>
      <c r="B785" s="125" t="s">
        <v>378</v>
      </c>
      <c r="C785" s="165" t="s">
        <v>360</v>
      </c>
      <c r="D785" s="74">
        <v>130.4</v>
      </c>
    </row>
    <row r="786" spans="1:4" s="76" customFormat="1" outlineLevel="2" x14ac:dyDescent="0.2">
      <c r="A786" s="135"/>
      <c r="B786" s="125" t="s">
        <v>359</v>
      </c>
      <c r="C786" s="165" t="s">
        <v>153</v>
      </c>
      <c r="D786" s="74">
        <v>65.2</v>
      </c>
    </row>
    <row r="787" spans="1:4" s="75" customFormat="1" outlineLevel="2" x14ac:dyDescent="0.2">
      <c r="A787" s="27"/>
      <c r="B787" s="124" t="s">
        <v>377</v>
      </c>
      <c r="C787" s="164" t="s">
        <v>4</v>
      </c>
      <c r="D787" s="61">
        <v>1.37</v>
      </c>
    </row>
    <row r="788" spans="1:4" s="76" customFormat="1" outlineLevel="2" x14ac:dyDescent="0.2">
      <c r="A788" s="135"/>
      <c r="B788" s="125" t="s">
        <v>364</v>
      </c>
      <c r="C788" s="165" t="s">
        <v>4</v>
      </c>
      <c r="D788" s="74">
        <f>D787*1.015</f>
        <v>1.39055</v>
      </c>
    </row>
    <row r="789" spans="1:4" s="76" customFormat="1" outlineLevel="2" x14ac:dyDescent="0.2">
      <c r="A789" s="135"/>
      <c r="B789" s="126" t="s">
        <v>365</v>
      </c>
      <c r="C789" s="165" t="s">
        <v>9</v>
      </c>
      <c r="D789" s="78">
        <v>2.7019999999999999E-2</v>
      </c>
    </row>
    <row r="790" spans="1:4" s="76" customFormat="1" outlineLevel="2" x14ac:dyDescent="0.2">
      <c r="A790" s="135"/>
      <c r="B790" s="126" t="s">
        <v>106</v>
      </c>
      <c r="C790" s="165" t="s">
        <v>9</v>
      </c>
      <c r="D790" s="78">
        <v>1.155E-2</v>
      </c>
    </row>
    <row r="791" spans="1:4" s="76" customFormat="1" outlineLevel="2" x14ac:dyDescent="0.2">
      <c r="A791" s="135"/>
      <c r="B791" s="125" t="s">
        <v>366</v>
      </c>
      <c r="C791" s="165" t="s">
        <v>9</v>
      </c>
      <c r="D791" s="78">
        <v>4.6969999999999998E-2</v>
      </c>
    </row>
    <row r="792" spans="1:4" s="76" customFormat="1" outlineLevel="2" x14ac:dyDescent="0.2">
      <c r="A792" s="135"/>
      <c r="B792" s="125" t="s">
        <v>367</v>
      </c>
      <c r="C792" s="165" t="s">
        <v>11</v>
      </c>
      <c r="D792" s="74">
        <v>2.5099999999999998</v>
      </c>
    </row>
    <row r="793" spans="1:4" s="75" customFormat="1" ht="25.5" outlineLevel="2" x14ac:dyDescent="0.2">
      <c r="A793" s="27"/>
      <c r="B793" s="124" t="s">
        <v>368</v>
      </c>
      <c r="C793" s="164" t="s">
        <v>4</v>
      </c>
      <c r="D793" s="79">
        <v>2.9</v>
      </c>
    </row>
    <row r="794" spans="1:4" s="76" customFormat="1" ht="25.5" outlineLevel="2" x14ac:dyDescent="0.2">
      <c r="A794" s="135"/>
      <c r="B794" s="125" t="s">
        <v>369</v>
      </c>
      <c r="C794" s="165" t="s">
        <v>4</v>
      </c>
      <c r="D794" s="77">
        <f>D793*0.98</f>
        <v>2.8420000000000001</v>
      </c>
    </row>
    <row r="795" spans="1:4" ht="15.75" customHeight="1" outlineLevel="1" x14ac:dyDescent="0.2">
      <c r="A795" s="134" t="s">
        <v>445</v>
      </c>
      <c r="B795" s="124" t="s">
        <v>409</v>
      </c>
      <c r="C795" s="164" t="s">
        <v>4</v>
      </c>
      <c r="D795" s="61">
        <f>D796</f>
        <v>64.48</v>
      </c>
    </row>
    <row r="796" spans="1:4" s="75" customFormat="1" ht="20.25" customHeight="1" outlineLevel="2" x14ac:dyDescent="0.2">
      <c r="A796" s="27"/>
      <c r="B796" s="124" t="s">
        <v>512</v>
      </c>
      <c r="C796" s="164" t="s">
        <v>4</v>
      </c>
      <c r="D796" s="61">
        <v>64.48</v>
      </c>
    </row>
    <row r="797" spans="1:4" s="76" customFormat="1" outlineLevel="2" x14ac:dyDescent="0.2">
      <c r="A797" s="135"/>
      <c r="B797" s="125" t="s">
        <v>356</v>
      </c>
      <c r="C797" s="165" t="s">
        <v>4</v>
      </c>
      <c r="D797" s="74">
        <f>D796*0.11</f>
        <v>7.0928000000000004</v>
      </c>
    </row>
    <row r="798" spans="1:4" s="76" customFormat="1" outlineLevel="2" x14ac:dyDescent="0.2">
      <c r="A798" s="135"/>
      <c r="B798" s="125" t="s">
        <v>357</v>
      </c>
      <c r="C798" s="165" t="s">
        <v>4</v>
      </c>
      <c r="D798" s="74">
        <f>D796*0.92</f>
        <v>59.321600000000004</v>
      </c>
    </row>
    <row r="799" spans="1:4" s="75" customFormat="1" outlineLevel="2" x14ac:dyDescent="0.2">
      <c r="A799" s="27"/>
      <c r="B799" s="124" t="s">
        <v>358</v>
      </c>
      <c r="C799" s="164" t="s">
        <v>9</v>
      </c>
      <c r="D799" s="79">
        <v>0.17</v>
      </c>
    </row>
    <row r="800" spans="1:4" s="76" customFormat="1" outlineLevel="2" x14ac:dyDescent="0.2">
      <c r="A800" s="135"/>
      <c r="B800" s="125" t="s">
        <v>379</v>
      </c>
      <c r="C800" s="166" t="s">
        <v>9</v>
      </c>
      <c r="D800" s="77">
        <v>0.17</v>
      </c>
    </row>
    <row r="801" spans="1:4" s="75" customFormat="1" outlineLevel="2" x14ac:dyDescent="0.2">
      <c r="A801" s="27"/>
      <c r="B801" s="124" t="s">
        <v>376</v>
      </c>
      <c r="C801" s="164" t="s">
        <v>9</v>
      </c>
      <c r="D801" s="79">
        <v>9.9000000000000005E-2</v>
      </c>
    </row>
    <row r="802" spans="1:4" s="76" customFormat="1" outlineLevel="2" x14ac:dyDescent="0.2">
      <c r="A802" s="135"/>
      <c r="B802" s="125" t="s">
        <v>378</v>
      </c>
      <c r="C802" s="165" t="s">
        <v>360</v>
      </c>
      <c r="D802" s="74">
        <v>52</v>
      </c>
    </row>
    <row r="803" spans="1:4" s="76" customFormat="1" outlineLevel="2" x14ac:dyDescent="0.2">
      <c r="A803" s="135"/>
      <c r="B803" s="125" t="s">
        <v>359</v>
      </c>
      <c r="C803" s="165" t="s">
        <v>153</v>
      </c>
      <c r="D803" s="74">
        <v>26</v>
      </c>
    </row>
    <row r="804" spans="1:4" s="75" customFormat="1" outlineLevel="2" x14ac:dyDescent="0.2">
      <c r="A804" s="27"/>
      <c r="B804" s="124" t="s">
        <v>377</v>
      </c>
      <c r="C804" s="164" t="s">
        <v>4</v>
      </c>
      <c r="D804" s="61">
        <v>0.31</v>
      </c>
    </row>
    <row r="805" spans="1:4" s="76" customFormat="1" outlineLevel="2" x14ac:dyDescent="0.2">
      <c r="A805" s="135"/>
      <c r="B805" s="125" t="s">
        <v>364</v>
      </c>
      <c r="C805" s="165" t="s">
        <v>4</v>
      </c>
      <c r="D805" s="74">
        <f>D804*1.015</f>
        <v>0.31464999999999999</v>
      </c>
    </row>
    <row r="806" spans="1:4" s="76" customFormat="1" outlineLevel="2" x14ac:dyDescent="0.2">
      <c r="A806" s="135"/>
      <c r="B806" s="126" t="s">
        <v>365</v>
      </c>
      <c r="C806" s="165" t="s">
        <v>9</v>
      </c>
      <c r="D806" s="78">
        <v>5.9379999999999997E-3</v>
      </c>
    </row>
    <row r="807" spans="1:4" s="76" customFormat="1" outlineLevel="2" x14ac:dyDescent="0.2">
      <c r="A807" s="135"/>
      <c r="B807" s="126" t="s">
        <v>106</v>
      </c>
      <c r="C807" s="165" t="s">
        <v>9</v>
      </c>
      <c r="D807" s="78">
        <v>2.8800000000000002E-3</v>
      </c>
    </row>
    <row r="808" spans="1:4" s="76" customFormat="1" outlineLevel="2" x14ac:dyDescent="0.2">
      <c r="A808" s="135"/>
      <c r="B808" s="125" t="s">
        <v>366</v>
      </c>
      <c r="C808" s="165" t="s">
        <v>9</v>
      </c>
      <c r="D808" s="78">
        <v>1.0500000000000001E-2</v>
      </c>
    </row>
    <row r="809" spans="1:4" s="76" customFormat="1" outlineLevel="2" x14ac:dyDescent="0.2">
      <c r="A809" s="135"/>
      <c r="B809" s="125" t="s">
        <v>367</v>
      </c>
      <c r="C809" s="165" t="s">
        <v>11</v>
      </c>
      <c r="D809" s="74">
        <v>0.56999999999999995</v>
      </c>
    </row>
    <row r="810" spans="1:4" s="75" customFormat="1" ht="25.5" outlineLevel="2" x14ac:dyDescent="0.2">
      <c r="A810" s="27"/>
      <c r="B810" s="124" t="s">
        <v>368</v>
      </c>
      <c r="C810" s="164" t="s">
        <v>4</v>
      </c>
      <c r="D810" s="16">
        <v>1.3</v>
      </c>
    </row>
    <row r="811" spans="1:4" s="76" customFormat="1" ht="25.5" outlineLevel="2" x14ac:dyDescent="0.2">
      <c r="A811" s="135"/>
      <c r="B811" s="125" t="s">
        <v>369</v>
      </c>
      <c r="C811" s="165" t="s">
        <v>4</v>
      </c>
      <c r="D811" s="122">
        <f>D810*0.98</f>
        <v>1.274</v>
      </c>
    </row>
  </sheetData>
  <autoFilter ref="A13:D811" xr:uid="{8F32F0CF-FD89-45A6-AF76-BB7A87905BCF}"/>
  <mergeCells count="25">
    <mergeCell ref="A648:B648"/>
    <mergeCell ref="A736:B736"/>
    <mergeCell ref="A591:B591"/>
    <mergeCell ref="A693:B693"/>
    <mergeCell ref="A195:B195"/>
    <mergeCell ref="A257:B257"/>
    <mergeCell ref="A383:B383"/>
    <mergeCell ref="A421:B421"/>
    <mergeCell ref="A543:B543"/>
    <mergeCell ref="A320:B320"/>
    <mergeCell ref="A479:B479"/>
    <mergeCell ref="A93:B93"/>
    <mergeCell ref="A60:B60"/>
    <mergeCell ref="A1:C1"/>
    <mergeCell ref="A2:C2"/>
    <mergeCell ref="A3:C3"/>
    <mergeCell ref="A4:C4"/>
    <mergeCell ref="B6:C6"/>
    <mergeCell ref="B7:C7"/>
    <mergeCell ref="B8:C8"/>
    <mergeCell ref="B9:C9"/>
    <mergeCell ref="A15:B15"/>
    <mergeCell ref="A39:B39"/>
    <mergeCell ref="A55:B55"/>
    <mergeCell ref="B10:C10"/>
  </mergeCells>
  <phoneticPr fontId="20" type="noConversion"/>
  <pageMargins left="0.7" right="0.7" top="0.75" bottom="0.75" header="0.3" footer="0.3"/>
  <pageSetup paperSize="9" scale="59" orientation="portrait" r:id="rId1"/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684"/>
  <sheetViews>
    <sheetView topLeftCell="A12" workbookViewId="0">
      <pane ySplit="2" topLeftCell="A14" activePane="bottomLeft" state="frozen"/>
      <selection activeCell="A12" sqref="A12"/>
      <selection pane="bottomLeft" activeCell="H454" sqref="H454"/>
    </sheetView>
  </sheetViews>
  <sheetFormatPr defaultRowHeight="15" outlineLevelRow="1" x14ac:dyDescent="0.25"/>
  <cols>
    <col min="1" max="1" width="10" style="3" customWidth="1"/>
    <col min="2" max="2" width="94.42578125" style="3" customWidth="1"/>
    <col min="3" max="3" width="11.28515625" style="3" customWidth="1"/>
    <col min="4" max="6" width="19" style="3" customWidth="1"/>
    <col min="7" max="16384" width="9.140625" style="3"/>
  </cols>
  <sheetData>
    <row r="1" spans="1:6" s="6" customFormat="1" ht="15.75" x14ac:dyDescent="0.25">
      <c r="A1" s="213" t="s">
        <v>171</v>
      </c>
      <c r="B1" s="213"/>
      <c r="C1" s="213"/>
      <c r="D1" s="213"/>
    </row>
    <row r="2" spans="1:6" s="6" customFormat="1" ht="33.75" customHeight="1" x14ac:dyDescent="0.25">
      <c r="A2" s="213" t="s">
        <v>172</v>
      </c>
      <c r="B2" s="213"/>
      <c r="C2" s="213"/>
      <c r="D2" s="213"/>
    </row>
    <row r="3" spans="1:6" s="7" customFormat="1" ht="7.5" customHeight="1" x14ac:dyDescent="0.25">
      <c r="A3" s="213"/>
      <c r="B3" s="213"/>
      <c r="C3" s="213"/>
      <c r="D3" s="213"/>
    </row>
    <row r="4" spans="1:6" s="8" customFormat="1" ht="28.5" customHeight="1" x14ac:dyDescent="0.25">
      <c r="A4" s="213" t="s">
        <v>173</v>
      </c>
      <c r="B4" s="213"/>
      <c r="C4" s="213"/>
      <c r="D4" s="213"/>
    </row>
    <row r="5" spans="1:6" s="6" customFormat="1" ht="15.75" x14ac:dyDescent="0.25">
      <c r="A5" s="9"/>
      <c r="B5" s="10" t="s">
        <v>174</v>
      </c>
      <c r="C5" s="11"/>
    </row>
    <row r="6" spans="1:6" s="6" customFormat="1" ht="34.5" customHeight="1" x14ac:dyDescent="0.25">
      <c r="A6" s="9" t="s">
        <v>3</v>
      </c>
      <c r="B6" s="230" t="s">
        <v>175</v>
      </c>
      <c r="C6" s="230"/>
      <c r="D6" s="230"/>
    </row>
    <row r="7" spans="1:6" s="6" customFormat="1" ht="32.25" customHeight="1" x14ac:dyDescent="0.25">
      <c r="A7" s="9" t="s">
        <v>5</v>
      </c>
      <c r="B7" s="230" t="s">
        <v>176</v>
      </c>
      <c r="C7" s="230"/>
      <c r="D7" s="230"/>
    </row>
    <row r="8" spans="1:6" s="6" customFormat="1" ht="20.25" customHeight="1" x14ac:dyDescent="0.25">
      <c r="A8" s="9" t="s">
        <v>6</v>
      </c>
      <c r="B8" s="231" t="s">
        <v>177</v>
      </c>
      <c r="C8" s="231"/>
      <c r="D8" s="231"/>
    </row>
    <row r="9" spans="1:6" s="6" customFormat="1" ht="28.5" customHeight="1" x14ac:dyDescent="0.25">
      <c r="A9" s="9" t="s">
        <v>7</v>
      </c>
      <c r="B9" s="230" t="s">
        <v>178</v>
      </c>
      <c r="C9" s="230"/>
      <c r="D9" s="230"/>
    </row>
    <row r="10" spans="1:6" s="6" customFormat="1" ht="23.25" customHeight="1" x14ac:dyDescent="0.25">
      <c r="A10" s="9" t="s">
        <v>8</v>
      </c>
      <c r="B10" s="12" t="s">
        <v>179</v>
      </c>
      <c r="C10" s="12"/>
      <c r="D10" s="12"/>
      <c r="E10" s="12"/>
      <c r="F10" s="12"/>
    </row>
    <row r="12" spans="1:6" s="1" customFormat="1" ht="47.25" customHeight="1" x14ac:dyDescent="0.25">
      <c r="A12" s="41" t="s">
        <v>0</v>
      </c>
      <c r="B12" s="41" t="s">
        <v>1</v>
      </c>
      <c r="C12" s="41" t="s">
        <v>2</v>
      </c>
      <c r="D12" s="41" t="s">
        <v>307</v>
      </c>
      <c r="E12" s="41" t="s">
        <v>308</v>
      </c>
      <c r="F12" s="42" t="s">
        <v>311</v>
      </c>
    </row>
    <row r="13" spans="1:6" s="2" customFormat="1" x14ac:dyDescent="0.25">
      <c r="A13" s="13">
        <v>1</v>
      </c>
      <c r="B13" s="13">
        <v>2</v>
      </c>
      <c r="C13" s="13">
        <v>3</v>
      </c>
      <c r="D13" s="13">
        <v>4</v>
      </c>
      <c r="E13" s="13" t="s">
        <v>309</v>
      </c>
      <c r="F13" s="13" t="s">
        <v>310</v>
      </c>
    </row>
    <row r="14" spans="1:6" s="4" customFormat="1" ht="15.75" x14ac:dyDescent="0.25">
      <c r="A14" s="206" t="s">
        <v>127</v>
      </c>
      <c r="B14" s="207"/>
      <c r="C14" s="39"/>
      <c r="D14" s="39"/>
      <c r="E14" s="39"/>
      <c r="F14" s="39"/>
    </row>
    <row r="15" spans="1:6" s="4" customFormat="1" ht="28.5" customHeight="1" x14ac:dyDescent="0.25">
      <c r="A15" s="14" t="s">
        <v>180</v>
      </c>
      <c r="B15" s="15" t="s">
        <v>182</v>
      </c>
      <c r="C15" s="16" t="s">
        <v>11</v>
      </c>
      <c r="D15" s="43">
        <f>D16/0.1</f>
        <v>4429.7</v>
      </c>
      <c r="E15" s="43">
        <f>E16/0.1</f>
        <v>4430</v>
      </c>
      <c r="F15" s="50">
        <f>E15-D15</f>
        <v>0.3000000000001819</v>
      </c>
    </row>
    <row r="16" spans="1:6" s="5" customFormat="1" outlineLevel="1" x14ac:dyDescent="0.25">
      <c r="A16" s="210"/>
      <c r="B16" s="211" t="s">
        <v>183</v>
      </c>
      <c r="C16" s="210" t="s">
        <v>4</v>
      </c>
      <c r="D16" s="212">
        <v>442.97</v>
      </c>
      <c r="E16" s="44">
        <v>443</v>
      </c>
      <c r="F16" s="50">
        <f t="shared" ref="F16:F109" si="0">E16-D16</f>
        <v>2.9999999999972715E-2</v>
      </c>
    </row>
    <row r="17" spans="1:6" s="48" customFormat="1" outlineLevel="1" x14ac:dyDescent="0.25">
      <c r="A17" s="23"/>
      <c r="B17" s="22" t="s">
        <v>313</v>
      </c>
      <c r="C17" s="23" t="s">
        <v>4</v>
      </c>
      <c r="D17" s="47"/>
      <c r="E17" s="47">
        <v>451.86</v>
      </c>
      <c r="F17" s="50">
        <f t="shared" si="0"/>
        <v>451.86</v>
      </c>
    </row>
    <row r="18" spans="1:6" s="5" customFormat="1" outlineLevel="1" x14ac:dyDescent="0.25">
      <c r="A18" s="17"/>
      <c r="B18" s="211" t="s">
        <v>10</v>
      </c>
      <c r="C18" s="210" t="s">
        <v>11</v>
      </c>
      <c r="D18" s="212">
        <v>4963.04</v>
      </c>
      <c r="E18" s="44">
        <v>4963</v>
      </c>
      <c r="F18" s="50">
        <f t="shared" si="0"/>
        <v>-3.999999999996362E-2</v>
      </c>
    </row>
    <row r="19" spans="1:6" s="48" customFormat="1" outlineLevel="1" x14ac:dyDescent="0.25">
      <c r="A19" s="54"/>
      <c r="B19" s="55" t="s">
        <v>325</v>
      </c>
      <c r="C19" s="54" t="s">
        <v>9</v>
      </c>
      <c r="D19" s="47"/>
      <c r="E19" s="49">
        <v>0.79408000000000001</v>
      </c>
      <c r="F19" s="52">
        <f t="shared" si="0"/>
        <v>0.79408000000000001</v>
      </c>
    </row>
    <row r="20" spans="1:6" s="48" customFormat="1" outlineLevel="1" x14ac:dyDescent="0.25">
      <c r="A20" s="54"/>
      <c r="B20" s="55" t="s">
        <v>317</v>
      </c>
      <c r="C20" s="54" t="s">
        <v>153</v>
      </c>
      <c r="D20" s="47"/>
      <c r="E20" s="47">
        <v>20844.599999999999</v>
      </c>
      <c r="F20" s="51">
        <f t="shared" si="0"/>
        <v>20844.599999999999</v>
      </c>
    </row>
    <row r="21" spans="1:6" s="48" customFormat="1" outlineLevel="1" x14ac:dyDescent="0.25">
      <c r="A21" s="54"/>
      <c r="B21" s="55" t="s">
        <v>318</v>
      </c>
      <c r="C21" s="54" t="s">
        <v>4</v>
      </c>
      <c r="D21" s="47"/>
      <c r="E21" s="47">
        <v>124.075</v>
      </c>
      <c r="F21" s="51">
        <f t="shared" si="0"/>
        <v>124.075</v>
      </c>
    </row>
    <row r="22" spans="1:6" s="48" customFormat="1" outlineLevel="1" x14ac:dyDescent="0.25">
      <c r="A22" s="54"/>
      <c r="B22" s="55" t="s">
        <v>314</v>
      </c>
      <c r="C22" s="54" t="s">
        <v>11</v>
      </c>
      <c r="D22" s="47"/>
      <c r="E22" s="47">
        <v>10918.6</v>
      </c>
      <c r="F22" s="51">
        <f t="shared" si="0"/>
        <v>10918.6</v>
      </c>
    </row>
    <row r="23" spans="1:6" s="5" customFormat="1" outlineLevel="1" x14ac:dyDescent="0.25">
      <c r="A23" s="17"/>
      <c r="B23" s="211" t="s">
        <v>12</v>
      </c>
      <c r="C23" s="210" t="s">
        <v>11</v>
      </c>
      <c r="D23" s="212">
        <v>4429.67</v>
      </c>
      <c r="E23" s="44">
        <v>4429.7</v>
      </c>
      <c r="F23" s="50">
        <f t="shared" si="0"/>
        <v>2.9999999999745341E-2</v>
      </c>
    </row>
    <row r="24" spans="1:6" s="48" customFormat="1" outlineLevel="1" x14ac:dyDescent="0.25">
      <c r="A24" s="54"/>
      <c r="B24" s="55" t="s">
        <v>315</v>
      </c>
      <c r="C24" s="54" t="s">
        <v>4</v>
      </c>
      <c r="D24" s="47"/>
      <c r="E24" s="47">
        <v>115.88</v>
      </c>
      <c r="F24" s="50">
        <f t="shared" si="0"/>
        <v>115.88</v>
      </c>
    </row>
    <row r="25" spans="1:6" s="48" customFormat="1" outlineLevel="1" x14ac:dyDescent="0.25">
      <c r="A25" s="54"/>
      <c r="B25" s="55" t="s">
        <v>316</v>
      </c>
      <c r="C25" s="54" t="s">
        <v>9</v>
      </c>
      <c r="D25" s="47"/>
      <c r="E25" s="49">
        <v>49.652999999999999</v>
      </c>
      <c r="F25" s="50">
        <f t="shared" si="0"/>
        <v>49.652999999999999</v>
      </c>
    </row>
    <row r="26" spans="1:6" s="5" customFormat="1" x14ac:dyDescent="0.25">
      <c r="A26" s="19" t="s">
        <v>181</v>
      </c>
      <c r="B26" s="20" t="s">
        <v>184</v>
      </c>
      <c r="C26" s="19" t="s">
        <v>4</v>
      </c>
      <c r="D26" s="45">
        <f>D36</f>
        <v>2562.6</v>
      </c>
      <c r="E26" s="45">
        <v>2562.6</v>
      </c>
      <c r="F26" s="50">
        <f t="shared" si="0"/>
        <v>0</v>
      </c>
    </row>
    <row r="27" spans="1:6" s="5" customFormat="1" outlineLevel="1" x14ac:dyDescent="0.25">
      <c r="A27" s="17"/>
      <c r="B27" s="211" t="s">
        <v>13</v>
      </c>
      <c r="C27" s="210" t="s">
        <v>11</v>
      </c>
      <c r="D27" s="212">
        <v>194.34</v>
      </c>
      <c r="E27" s="44">
        <v>92.25</v>
      </c>
      <c r="F27" s="50">
        <f t="shared" si="0"/>
        <v>-102.09</v>
      </c>
    </row>
    <row r="28" spans="1:6" s="48" customFormat="1" outlineLevel="1" x14ac:dyDescent="0.25">
      <c r="A28" s="54"/>
      <c r="B28" s="55" t="s">
        <v>326</v>
      </c>
      <c r="C28" s="54" t="s">
        <v>11</v>
      </c>
      <c r="D28" s="47"/>
      <c r="E28" s="47">
        <v>92.25</v>
      </c>
      <c r="F28" s="50">
        <f t="shared" si="0"/>
        <v>92.25</v>
      </c>
    </row>
    <row r="29" spans="1:6" s="5" customFormat="1" outlineLevel="1" x14ac:dyDescent="0.25">
      <c r="A29" s="17"/>
      <c r="B29" s="211" t="s">
        <v>312</v>
      </c>
      <c r="C29" s="210" t="s">
        <v>9</v>
      </c>
      <c r="D29" s="217">
        <v>191.83</v>
      </c>
      <c r="E29" s="46">
        <f>E30+E31+E32+E33+E34+E35</f>
        <v>191.82999999999998</v>
      </c>
      <c r="F29" s="50">
        <f t="shared" si="0"/>
        <v>0</v>
      </c>
    </row>
    <row r="30" spans="1:6" s="48" customFormat="1" outlineLevel="1" x14ac:dyDescent="0.25">
      <c r="A30" s="23"/>
      <c r="B30" s="214" t="s">
        <v>106</v>
      </c>
      <c r="C30" s="215" t="s">
        <v>9</v>
      </c>
      <c r="D30" s="216">
        <v>0.23</v>
      </c>
      <c r="E30" s="49">
        <v>0.23</v>
      </c>
      <c r="F30" s="50">
        <f t="shared" si="0"/>
        <v>0</v>
      </c>
    </row>
    <row r="31" spans="1:6" s="48" customFormat="1" outlineLevel="1" x14ac:dyDescent="0.25">
      <c r="A31" s="23"/>
      <c r="B31" s="214" t="s">
        <v>39</v>
      </c>
      <c r="C31" s="215" t="s">
        <v>9</v>
      </c>
      <c r="D31" s="216">
        <v>29.6</v>
      </c>
      <c r="E31" s="49">
        <v>29.6</v>
      </c>
      <c r="F31" s="50">
        <f t="shared" si="0"/>
        <v>0</v>
      </c>
    </row>
    <row r="32" spans="1:6" s="48" customFormat="1" outlineLevel="1" x14ac:dyDescent="0.25">
      <c r="A32" s="23"/>
      <c r="B32" s="214" t="s">
        <v>52</v>
      </c>
      <c r="C32" s="215" t="s">
        <v>9</v>
      </c>
      <c r="D32" s="216">
        <v>61.8</v>
      </c>
      <c r="E32" s="49">
        <v>61.8</v>
      </c>
      <c r="F32" s="50">
        <f t="shared" si="0"/>
        <v>0</v>
      </c>
    </row>
    <row r="33" spans="1:6" s="48" customFormat="1" outlineLevel="1" x14ac:dyDescent="0.25">
      <c r="A33" s="23"/>
      <c r="B33" s="214" t="s">
        <v>40</v>
      </c>
      <c r="C33" s="215" t="s">
        <v>9</v>
      </c>
      <c r="D33" s="216">
        <v>85.6</v>
      </c>
      <c r="E33" s="49">
        <v>85.6</v>
      </c>
      <c r="F33" s="50">
        <f t="shared" si="0"/>
        <v>0</v>
      </c>
    </row>
    <row r="34" spans="1:6" s="48" customFormat="1" outlineLevel="1" x14ac:dyDescent="0.25">
      <c r="A34" s="23"/>
      <c r="B34" s="214" t="s">
        <v>41</v>
      </c>
      <c r="C34" s="215" t="s">
        <v>9</v>
      </c>
      <c r="D34" s="216">
        <v>6.7</v>
      </c>
      <c r="E34" s="49">
        <v>6.7</v>
      </c>
      <c r="F34" s="50">
        <f t="shared" si="0"/>
        <v>0</v>
      </c>
    </row>
    <row r="35" spans="1:6" s="48" customFormat="1" outlineLevel="1" x14ac:dyDescent="0.25">
      <c r="A35" s="23"/>
      <c r="B35" s="214" t="s">
        <v>64</v>
      </c>
      <c r="C35" s="215" t="s">
        <v>9</v>
      </c>
      <c r="D35" s="216">
        <v>7.9</v>
      </c>
      <c r="E35" s="49">
        <v>7.9</v>
      </c>
      <c r="F35" s="50">
        <f t="shared" si="0"/>
        <v>0</v>
      </c>
    </row>
    <row r="36" spans="1:6" s="5" customFormat="1" outlineLevel="1" x14ac:dyDescent="0.25">
      <c r="A36" s="17"/>
      <c r="B36" s="211" t="s">
        <v>302</v>
      </c>
      <c r="C36" s="210" t="s">
        <v>4</v>
      </c>
      <c r="D36" s="212">
        <v>2562.6</v>
      </c>
      <c r="E36" s="44">
        <v>2562.6</v>
      </c>
      <c r="F36" s="50">
        <f t="shared" si="0"/>
        <v>0</v>
      </c>
    </row>
    <row r="37" spans="1:6" s="48" customFormat="1" outlineLevel="1" x14ac:dyDescent="0.25">
      <c r="A37" s="23"/>
      <c r="B37" s="22" t="s">
        <v>319</v>
      </c>
      <c r="C37" s="23" t="s">
        <v>4</v>
      </c>
      <c r="D37" s="47">
        <f>D36*1.02</f>
        <v>2613.8519999999999</v>
      </c>
      <c r="E37" s="47">
        <v>2601.04</v>
      </c>
      <c r="F37" s="50">
        <f t="shared" si="0"/>
        <v>-12.811999999999898</v>
      </c>
    </row>
    <row r="38" spans="1:6" s="4" customFormat="1" ht="15.75" collapsed="1" x14ac:dyDescent="0.25">
      <c r="A38" s="206" t="s">
        <v>186</v>
      </c>
      <c r="B38" s="207"/>
      <c r="C38" s="39"/>
      <c r="D38" s="43"/>
      <c r="E38" s="43"/>
      <c r="F38" s="50">
        <f t="shared" si="0"/>
        <v>0</v>
      </c>
    </row>
    <row r="39" spans="1:6" s="88" customFormat="1" x14ac:dyDescent="0.2">
      <c r="A39" s="16" t="s">
        <v>187</v>
      </c>
      <c r="B39" s="87" t="s">
        <v>185</v>
      </c>
      <c r="C39" s="16" t="s">
        <v>129</v>
      </c>
      <c r="D39" s="43">
        <f>D40</f>
        <v>9.26</v>
      </c>
      <c r="E39" s="43"/>
      <c r="F39" s="50">
        <f t="shared" ref="F39:F67" si="1">E39-D39</f>
        <v>-9.26</v>
      </c>
    </row>
    <row r="40" spans="1:6" s="88" customFormat="1" outlineLevel="1" x14ac:dyDescent="0.2">
      <c r="A40" s="13">
        <v>13</v>
      </c>
      <c r="B40" s="22" t="s">
        <v>128</v>
      </c>
      <c r="C40" s="23" t="s">
        <v>129</v>
      </c>
      <c r="D40" s="47">
        <v>9.26</v>
      </c>
      <c r="E40" s="43"/>
      <c r="F40" s="50">
        <f t="shared" si="1"/>
        <v>-9.26</v>
      </c>
    </row>
    <row r="41" spans="1:6" s="88" customFormat="1" outlineLevel="1" x14ac:dyDescent="0.2">
      <c r="A41" s="13">
        <v>14</v>
      </c>
      <c r="B41" s="22" t="s">
        <v>130</v>
      </c>
      <c r="C41" s="23" t="s">
        <v>11</v>
      </c>
      <c r="D41" s="47">
        <v>32.58</v>
      </c>
      <c r="E41" s="43"/>
      <c r="F41" s="50">
        <f t="shared" si="1"/>
        <v>-32.58</v>
      </c>
    </row>
    <row r="42" spans="1:6" s="88" customFormat="1" outlineLevel="1" x14ac:dyDescent="0.2">
      <c r="A42" s="13">
        <v>15</v>
      </c>
      <c r="B42" s="22" t="s">
        <v>131</v>
      </c>
      <c r="C42" s="23" t="s">
        <v>11</v>
      </c>
      <c r="D42" s="47">
        <v>4.63</v>
      </c>
      <c r="E42" s="43"/>
      <c r="F42" s="50">
        <f t="shared" si="1"/>
        <v>-4.63</v>
      </c>
    </row>
    <row r="43" spans="1:6" s="88" customFormat="1" outlineLevel="1" x14ac:dyDescent="0.2">
      <c r="A43" s="13">
        <v>16</v>
      </c>
      <c r="B43" s="22" t="s">
        <v>132</v>
      </c>
      <c r="C43" s="23" t="s">
        <v>129</v>
      </c>
      <c r="D43" s="47">
        <v>11.26</v>
      </c>
      <c r="E43" s="43"/>
      <c r="F43" s="50">
        <f t="shared" si="1"/>
        <v>-11.26</v>
      </c>
    </row>
    <row r="44" spans="1:6" s="88" customFormat="1" outlineLevel="1" x14ac:dyDescent="0.2">
      <c r="A44" s="13">
        <v>17</v>
      </c>
      <c r="B44" s="22" t="s">
        <v>133</v>
      </c>
      <c r="C44" s="23" t="s">
        <v>129</v>
      </c>
      <c r="D44" s="47">
        <v>9.26</v>
      </c>
      <c r="E44" s="43"/>
      <c r="F44" s="50">
        <f t="shared" si="1"/>
        <v>-9.26</v>
      </c>
    </row>
    <row r="45" spans="1:6" s="88" customFormat="1" outlineLevel="1" x14ac:dyDescent="0.2">
      <c r="A45" s="13">
        <v>18</v>
      </c>
      <c r="B45" s="22" t="s">
        <v>134</v>
      </c>
      <c r="C45" s="54" t="s">
        <v>153</v>
      </c>
      <c r="D45" s="47">
        <v>10.62</v>
      </c>
      <c r="E45" s="43"/>
      <c r="F45" s="50">
        <f t="shared" si="1"/>
        <v>-10.62</v>
      </c>
    </row>
    <row r="46" spans="1:6" s="67" customFormat="1" ht="15" customHeight="1" x14ac:dyDescent="0.2">
      <c r="A46" s="27" t="s">
        <v>336</v>
      </c>
      <c r="B46" s="39" t="s">
        <v>154</v>
      </c>
      <c r="C46" s="27" t="s">
        <v>129</v>
      </c>
      <c r="D46" s="28">
        <f>D47</f>
        <v>16.8</v>
      </c>
      <c r="E46" s="43"/>
      <c r="F46" s="50">
        <f t="shared" si="1"/>
        <v>-16.8</v>
      </c>
    </row>
    <row r="47" spans="1:6" s="67" customFormat="1" outlineLevel="1" x14ac:dyDescent="0.2">
      <c r="A47" s="13">
        <v>347</v>
      </c>
      <c r="B47" s="89" t="s">
        <v>154</v>
      </c>
      <c r="C47" s="13" t="s">
        <v>155</v>
      </c>
      <c r="D47" s="72">
        <v>16.8</v>
      </c>
      <c r="E47" s="43"/>
      <c r="F47" s="50">
        <f t="shared" si="1"/>
        <v>-16.8</v>
      </c>
    </row>
    <row r="48" spans="1:6" s="67" customFormat="1" outlineLevel="1" x14ac:dyDescent="0.2">
      <c r="A48" s="13">
        <v>348</v>
      </c>
      <c r="B48" s="71" t="s">
        <v>128</v>
      </c>
      <c r="C48" s="32" t="s">
        <v>129</v>
      </c>
      <c r="D48" s="37">
        <f>D47*1.05</f>
        <v>17.64</v>
      </c>
      <c r="E48" s="43"/>
      <c r="F48" s="50">
        <f t="shared" si="1"/>
        <v>-17.64</v>
      </c>
    </row>
    <row r="49" spans="1:7" s="67" customFormat="1" outlineLevel="1" x14ac:dyDescent="0.2">
      <c r="A49" s="13">
        <v>349</v>
      </c>
      <c r="B49" s="71" t="s">
        <v>156</v>
      </c>
      <c r="C49" s="54" t="s">
        <v>153</v>
      </c>
      <c r="D49" s="90">
        <v>13.1</v>
      </c>
      <c r="E49" s="43"/>
      <c r="F49" s="50">
        <f t="shared" si="1"/>
        <v>-13.1</v>
      </c>
    </row>
    <row r="50" spans="1:7" s="67" customFormat="1" outlineLevel="1" x14ac:dyDescent="0.2">
      <c r="A50" s="13">
        <v>350</v>
      </c>
      <c r="B50" s="71" t="s">
        <v>157</v>
      </c>
      <c r="C50" s="32" t="s">
        <v>129</v>
      </c>
      <c r="D50" s="37">
        <f>1.05*D47</f>
        <v>17.64</v>
      </c>
      <c r="E50" s="43"/>
      <c r="F50" s="50">
        <f t="shared" si="1"/>
        <v>-17.64</v>
      </c>
    </row>
    <row r="51" spans="1:7" s="67" customFormat="1" outlineLevel="1" x14ac:dyDescent="0.2">
      <c r="A51" s="13">
        <v>351</v>
      </c>
      <c r="B51" s="71" t="s">
        <v>158</v>
      </c>
      <c r="C51" s="32" t="s">
        <v>129</v>
      </c>
      <c r="D51" s="37">
        <f>1.05*D47</f>
        <v>17.64</v>
      </c>
      <c r="E51" s="43"/>
      <c r="F51" s="50">
        <f t="shared" si="1"/>
        <v>-17.64</v>
      </c>
    </row>
    <row r="52" spans="1:7" s="67" customFormat="1" outlineLevel="1" x14ac:dyDescent="0.2">
      <c r="A52" s="13">
        <v>352</v>
      </c>
      <c r="B52" s="71" t="s">
        <v>159</v>
      </c>
      <c r="C52" s="32" t="s">
        <v>11</v>
      </c>
      <c r="D52" s="37">
        <f>D47*0.5</f>
        <v>8.4</v>
      </c>
      <c r="E52" s="43"/>
      <c r="F52" s="50">
        <f t="shared" si="1"/>
        <v>-8.4</v>
      </c>
    </row>
    <row r="53" spans="1:7" s="67" customFormat="1" outlineLevel="1" x14ac:dyDescent="0.2">
      <c r="A53" s="13">
        <v>353</v>
      </c>
      <c r="B53" s="71" t="s">
        <v>160</v>
      </c>
      <c r="C53" s="32" t="s">
        <v>153</v>
      </c>
      <c r="D53" s="37">
        <f>0.15*D47</f>
        <v>2.52</v>
      </c>
      <c r="E53" s="43"/>
      <c r="F53" s="50">
        <f t="shared" si="1"/>
        <v>-2.52</v>
      </c>
    </row>
    <row r="54" spans="1:7" s="4" customFormat="1" ht="15.75" collapsed="1" x14ac:dyDescent="0.25">
      <c r="A54" s="206" t="s">
        <v>188</v>
      </c>
      <c r="B54" s="207"/>
      <c r="C54" s="39"/>
      <c r="D54" s="43"/>
      <c r="E54" s="43"/>
      <c r="F54" s="50">
        <f t="shared" si="1"/>
        <v>0</v>
      </c>
    </row>
    <row r="55" spans="1:7" s="4" customFormat="1" ht="15.75" x14ac:dyDescent="0.25">
      <c r="A55" s="16" t="s">
        <v>189</v>
      </c>
      <c r="B55" s="15" t="s">
        <v>413</v>
      </c>
      <c r="C55" s="16" t="s">
        <v>360</v>
      </c>
      <c r="D55" s="43">
        <v>220</v>
      </c>
      <c r="E55" s="43"/>
      <c r="F55" s="50">
        <f t="shared" si="1"/>
        <v>-220</v>
      </c>
    </row>
    <row r="56" spans="1:7" s="4" customFormat="1" ht="18.75" customHeight="1" outlineLevel="1" x14ac:dyDescent="0.25">
      <c r="A56" s="63"/>
      <c r="B56" s="91" t="s">
        <v>382</v>
      </c>
      <c r="C56" s="23" t="s">
        <v>340</v>
      </c>
      <c r="D56" s="64" t="s">
        <v>383</v>
      </c>
      <c r="E56" s="43"/>
      <c r="F56" s="50" t="e">
        <f t="shared" si="1"/>
        <v>#VALUE!</v>
      </c>
    </row>
    <row r="57" spans="1:7" s="4" customFormat="1" ht="15.75" outlineLevel="1" x14ac:dyDescent="0.25">
      <c r="A57" s="63"/>
      <c r="B57" s="91" t="s">
        <v>412</v>
      </c>
      <c r="C57" s="13" t="s">
        <v>340</v>
      </c>
      <c r="D57" s="72" t="s">
        <v>381</v>
      </c>
      <c r="E57" s="43"/>
      <c r="F57" s="50"/>
    </row>
    <row r="58" spans="1:7" s="4" customFormat="1" ht="26.25" outlineLevel="1" x14ac:dyDescent="0.25">
      <c r="A58" s="63"/>
      <c r="B58" s="91" t="s">
        <v>384</v>
      </c>
      <c r="C58" s="23" t="s">
        <v>340</v>
      </c>
      <c r="D58" s="64" t="s">
        <v>385</v>
      </c>
      <c r="E58" s="43"/>
      <c r="F58" s="50" t="e">
        <f t="shared" si="1"/>
        <v>#VALUE!</v>
      </c>
      <c r="G58" s="92">
        <v>3.12</v>
      </c>
    </row>
    <row r="59" spans="1:7" s="4" customFormat="1" ht="27.75" customHeight="1" outlineLevel="1" x14ac:dyDescent="0.25">
      <c r="A59" s="63"/>
      <c r="B59" s="65" t="s">
        <v>386</v>
      </c>
      <c r="C59" s="23" t="s">
        <v>340</v>
      </c>
      <c r="D59" s="64" t="s">
        <v>387</v>
      </c>
      <c r="E59" s="43"/>
      <c r="F59" s="50" t="e">
        <f t="shared" si="1"/>
        <v>#VALUE!</v>
      </c>
      <c r="G59" s="92">
        <v>0.84</v>
      </c>
    </row>
    <row r="60" spans="1:7" s="4" customFormat="1" ht="27.75" customHeight="1" outlineLevel="1" x14ac:dyDescent="0.25">
      <c r="A60" s="63"/>
      <c r="B60" s="65" t="s">
        <v>388</v>
      </c>
      <c r="C60" s="23" t="s">
        <v>340</v>
      </c>
      <c r="D60" s="64">
        <v>0.5</v>
      </c>
      <c r="E60" s="43"/>
      <c r="F60" s="50">
        <f t="shared" si="1"/>
        <v>-0.5</v>
      </c>
      <c r="G60" s="92">
        <v>0.5</v>
      </c>
    </row>
    <row r="61" spans="1:7" s="4" customFormat="1" ht="30.75" customHeight="1" outlineLevel="1" x14ac:dyDescent="0.25">
      <c r="A61" s="63"/>
      <c r="B61" s="65" t="s">
        <v>389</v>
      </c>
      <c r="C61" s="23" t="s">
        <v>340</v>
      </c>
      <c r="D61" s="64" t="s">
        <v>390</v>
      </c>
      <c r="E61" s="43"/>
      <c r="F61" s="50" t="e">
        <f t="shared" si="1"/>
        <v>#VALUE!</v>
      </c>
      <c r="G61" s="92">
        <v>0.65600000000000003</v>
      </c>
    </row>
    <row r="62" spans="1:7" s="4" customFormat="1" ht="21.75" customHeight="1" outlineLevel="1" x14ac:dyDescent="0.25">
      <c r="A62" s="63"/>
      <c r="B62" s="65" t="s">
        <v>391</v>
      </c>
      <c r="C62" s="23" t="s">
        <v>340</v>
      </c>
      <c r="D62" s="64" t="s">
        <v>392</v>
      </c>
      <c r="E62" s="43"/>
      <c r="F62" s="50" t="e">
        <f t="shared" si="1"/>
        <v>#VALUE!</v>
      </c>
      <c r="G62" s="92">
        <v>0.51800000000000002</v>
      </c>
    </row>
    <row r="63" spans="1:7" s="4" customFormat="1" ht="26.25" outlineLevel="1" x14ac:dyDescent="0.25">
      <c r="A63" s="63"/>
      <c r="B63" s="65" t="s">
        <v>393</v>
      </c>
      <c r="C63" s="23" t="s">
        <v>340</v>
      </c>
      <c r="D63" s="64" t="s">
        <v>394</v>
      </c>
      <c r="E63" s="43"/>
      <c r="F63" s="50" t="e">
        <f t="shared" si="1"/>
        <v>#VALUE!</v>
      </c>
      <c r="G63" s="92">
        <v>0.26400000000000001</v>
      </c>
    </row>
    <row r="64" spans="1:7" s="4" customFormat="1" ht="15.75" outlineLevel="1" x14ac:dyDescent="0.25">
      <c r="A64" s="63"/>
      <c r="B64" s="65" t="s">
        <v>395</v>
      </c>
      <c r="C64" s="23" t="s">
        <v>340</v>
      </c>
      <c r="D64" s="64" t="s">
        <v>396</v>
      </c>
      <c r="E64" s="43"/>
      <c r="F64" s="50" t="e">
        <f t="shared" si="1"/>
        <v>#VALUE!</v>
      </c>
      <c r="G64" s="92">
        <v>0.152</v>
      </c>
    </row>
    <row r="65" spans="1:7" s="4" customFormat="1" ht="26.25" outlineLevel="1" x14ac:dyDescent="0.25">
      <c r="A65" s="63"/>
      <c r="B65" s="65" t="s">
        <v>397</v>
      </c>
      <c r="C65" s="23" t="s">
        <v>135</v>
      </c>
      <c r="D65" s="64">
        <v>4</v>
      </c>
      <c r="E65" s="43"/>
      <c r="F65" s="50">
        <f t="shared" si="1"/>
        <v>-4</v>
      </c>
      <c r="G65" s="92"/>
    </row>
    <row r="66" spans="1:7" s="4" customFormat="1" ht="15.75" outlineLevel="1" x14ac:dyDescent="0.25">
      <c r="A66" s="63"/>
      <c r="B66" s="65" t="s">
        <v>398</v>
      </c>
      <c r="C66" s="23" t="s">
        <v>340</v>
      </c>
      <c r="D66" s="64" t="s">
        <v>399</v>
      </c>
      <c r="E66" s="43"/>
      <c r="F66" s="50" t="e">
        <f t="shared" si="1"/>
        <v>#VALUE!</v>
      </c>
      <c r="G66" s="92">
        <v>0.47499999999999998</v>
      </c>
    </row>
    <row r="67" spans="1:7" s="4" customFormat="1" ht="15.75" collapsed="1" x14ac:dyDescent="0.25">
      <c r="A67" s="206" t="s">
        <v>190</v>
      </c>
      <c r="B67" s="207"/>
      <c r="C67" s="39"/>
      <c r="D67" s="43"/>
      <c r="E67" s="43"/>
      <c r="F67" s="50">
        <f t="shared" si="1"/>
        <v>0</v>
      </c>
    </row>
    <row r="68" spans="1:7" s="4" customFormat="1" ht="28.5" customHeight="1" x14ac:dyDescent="0.25">
      <c r="A68" s="16" t="s">
        <v>191</v>
      </c>
      <c r="B68" s="15" t="s">
        <v>193</v>
      </c>
      <c r="C68" s="16" t="s">
        <v>11</v>
      </c>
      <c r="D68" s="43">
        <v>240.5</v>
      </c>
      <c r="E68" s="43">
        <v>240.5</v>
      </c>
      <c r="F68" s="50">
        <f t="shared" ref="F68:F69" si="2">E68-D68</f>
        <v>0</v>
      </c>
    </row>
    <row r="69" spans="1:7" s="5" customFormat="1" outlineLevel="1" x14ac:dyDescent="0.25">
      <c r="A69" s="210"/>
      <c r="B69" s="211" t="s">
        <v>14</v>
      </c>
      <c r="C69" s="210" t="s">
        <v>4</v>
      </c>
      <c r="D69" s="212">
        <v>224.495</v>
      </c>
      <c r="E69" s="47"/>
      <c r="F69" s="50">
        <f t="shared" si="2"/>
        <v>-224.495</v>
      </c>
    </row>
    <row r="70" spans="1:7" s="5" customFormat="1" outlineLevel="1" x14ac:dyDescent="0.25">
      <c r="A70" s="17"/>
      <c r="B70" s="18" t="s">
        <v>322</v>
      </c>
      <c r="C70" s="17" t="s">
        <v>4</v>
      </c>
      <c r="D70" s="44">
        <f>D69*1.15</f>
        <v>258.16924999999998</v>
      </c>
      <c r="E70" s="44">
        <f>E69*1.15</f>
        <v>0</v>
      </c>
      <c r="F70" s="50">
        <f t="shared" si="0"/>
        <v>-258.16924999999998</v>
      </c>
    </row>
    <row r="71" spans="1:7" s="5" customFormat="1" outlineLevel="1" x14ac:dyDescent="0.25">
      <c r="A71" s="17"/>
      <c r="B71" s="211" t="s">
        <v>192</v>
      </c>
      <c r="C71" s="210" t="s">
        <v>4</v>
      </c>
      <c r="D71" s="212">
        <v>17.7</v>
      </c>
      <c r="E71" s="44">
        <v>17.7</v>
      </c>
      <c r="F71" s="50">
        <f t="shared" si="0"/>
        <v>0</v>
      </c>
    </row>
    <row r="72" spans="1:7" s="5" customFormat="1" outlineLevel="1" x14ac:dyDescent="0.25">
      <c r="A72" s="17"/>
      <c r="B72" s="18" t="s">
        <v>323</v>
      </c>
      <c r="C72" s="17" t="s">
        <v>4</v>
      </c>
      <c r="D72" s="44">
        <f>D71*1.15</f>
        <v>20.354999999999997</v>
      </c>
      <c r="E72" s="44">
        <f>E71*1.15</f>
        <v>20.354999999999997</v>
      </c>
      <c r="F72" s="50">
        <f t="shared" si="0"/>
        <v>0</v>
      </c>
    </row>
    <row r="73" spans="1:7" s="5" customFormat="1" outlineLevel="1" x14ac:dyDescent="0.25">
      <c r="A73" s="17"/>
      <c r="B73" s="211" t="s">
        <v>15</v>
      </c>
      <c r="C73" s="210" t="s">
        <v>4</v>
      </c>
      <c r="D73" s="212">
        <v>33.43</v>
      </c>
      <c r="E73" s="44">
        <v>33.4</v>
      </c>
      <c r="F73" s="50">
        <f t="shared" si="0"/>
        <v>-3.0000000000001137E-2</v>
      </c>
    </row>
    <row r="74" spans="1:7" s="5" customFormat="1" outlineLevel="1" x14ac:dyDescent="0.25">
      <c r="A74" s="17"/>
      <c r="B74" s="18" t="s">
        <v>324</v>
      </c>
      <c r="C74" s="17" t="s">
        <v>4</v>
      </c>
      <c r="D74" s="44">
        <f>D73*1.02</f>
        <v>34.098599999999998</v>
      </c>
      <c r="E74" s="44">
        <f>E73*1.02</f>
        <v>34.067999999999998</v>
      </c>
      <c r="F74" s="50">
        <f t="shared" si="0"/>
        <v>-3.0599999999999739E-2</v>
      </c>
    </row>
    <row r="75" spans="1:7" s="5" customFormat="1" outlineLevel="1" x14ac:dyDescent="0.25">
      <c r="A75" s="17"/>
      <c r="B75" s="211" t="s">
        <v>16</v>
      </c>
      <c r="C75" s="210" t="s">
        <v>11</v>
      </c>
      <c r="D75" s="212">
        <v>637.75</v>
      </c>
      <c r="E75" s="44">
        <v>637.79999999999995</v>
      </c>
      <c r="F75" s="50">
        <f t="shared" si="0"/>
        <v>4.9999999999954525E-2</v>
      </c>
    </row>
    <row r="76" spans="1:7" s="48" customFormat="1" outlineLevel="1" x14ac:dyDescent="0.25">
      <c r="A76" s="54"/>
      <c r="B76" s="55" t="s">
        <v>325</v>
      </c>
      <c r="C76" s="54" t="s">
        <v>9</v>
      </c>
      <c r="D76" s="47"/>
      <c r="E76" s="47">
        <v>0.10199999999999999</v>
      </c>
      <c r="F76" s="51">
        <f t="shared" si="0"/>
        <v>0.10199999999999999</v>
      </c>
    </row>
    <row r="77" spans="1:7" s="48" customFormat="1" outlineLevel="1" x14ac:dyDescent="0.25">
      <c r="A77" s="54"/>
      <c r="B77" s="55" t="s">
        <v>317</v>
      </c>
      <c r="C77" s="54" t="s">
        <v>153</v>
      </c>
      <c r="D77" s="47"/>
      <c r="E77" s="47">
        <v>2678.76</v>
      </c>
      <c r="F77" s="51">
        <f t="shared" si="0"/>
        <v>2678.76</v>
      </c>
    </row>
    <row r="78" spans="1:7" s="48" customFormat="1" outlineLevel="1" x14ac:dyDescent="0.25">
      <c r="A78" s="54"/>
      <c r="B78" s="55" t="s">
        <v>318</v>
      </c>
      <c r="C78" s="54" t="s">
        <v>4</v>
      </c>
      <c r="D78" s="47"/>
      <c r="E78" s="47">
        <v>15.945</v>
      </c>
      <c r="F78" s="51">
        <f t="shared" si="0"/>
        <v>15.945</v>
      </c>
    </row>
    <row r="79" spans="1:7" s="48" customFormat="1" outlineLevel="1" x14ac:dyDescent="0.25">
      <c r="A79" s="54"/>
      <c r="B79" s="55" t="s">
        <v>314</v>
      </c>
      <c r="C79" s="54" t="s">
        <v>11</v>
      </c>
      <c r="D79" s="47"/>
      <c r="E79" s="47">
        <v>1403.16</v>
      </c>
      <c r="F79" s="51">
        <f t="shared" si="0"/>
        <v>1403.16</v>
      </c>
    </row>
    <row r="80" spans="1:7" s="5" customFormat="1" x14ac:dyDescent="0.25">
      <c r="A80" s="19" t="s">
        <v>194</v>
      </c>
      <c r="B80" s="20" t="s">
        <v>195</v>
      </c>
      <c r="C80" s="19" t="s">
        <v>4</v>
      </c>
      <c r="D80" s="45">
        <f>D86+D94</f>
        <v>232.2978</v>
      </c>
      <c r="E80" s="45">
        <f>E86+E94</f>
        <v>232.3</v>
      </c>
      <c r="F80" s="50">
        <f t="shared" si="0"/>
        <v>2.200000000016189E-3</v>
      </c>
    </row>
    <row r="81" spans="1:6" s="5" customFormat="1" outlineLevel="1" x14ac:dyDescent="0.25">
      <c r="A81" s="17"/>
      <c r="B81" s="211" t="s">
        <v>17</v>
      </c>
      <c r="C81" s="210" t="s">
        <v>11</v>
      </c>
      <c r="D81" s="212">
        <v>60.75</v>
      </c>
      <c r="E81" s="44">
        <f>E82</f>
        <v>18.57</v>
      </c>
      <c r="F81" s="50">
        <f t="shared" si="0"/>
        <v>-42.18</v>
      </c>
    </row>
    <row r="82" spans="1:6" s="48" customFormat="1" outlineLevel="1" x14ac:dyDescent="0.25">
      <c r="A82" s="54"/>
      <c r="B82" s="55" t="s">
        <v>326</v>
      </c>
      <c r="C82" s="54" t="s">
        <v>11</v>
      </c>
      <c r="D82" s="47"/>
      <c r="E82" s="47">
        <v>18.57</v>
      </c>
      <c r="F82" s="50">
        <f t="shared" si="0"/>
        <v>18.57</v>
      </c>
    </row>
    <row r="83" spans="1:6" s="5" customFormat="1" outlineLevel="1" x14ac:dyDescent="0.25">
      <c r="A83" s="17"/>
      <c r="B83" s="211" t="s">
        <v>18</v>
      </c>
      <c r="C83" s="210" t="s">
        <v>9</v>
      </c>
      <c r="D83" s="212">
        <v>11.4</v>
      </c>
      <c r="E83" s="44">
        <f>E84+E85</f>
        <v>11.399999999999999</v>
      </c>
      <c r="F83" s="50">
        <f t="shared" si="0"/>
        <v>0</v>
      </c>
    </row>
    <row r="84" spans="1:6" s="48" customFormat="1" outlineLevel="1" x14ac:dyDescent="0.25">
      <c r="A84" s="23"/>
      <c r="B84" s="214" t="s">
        <v>320</v>
      </c>
      <c r="C84" s="215" t="s">
        <v>9</v>
      </c>
      <c r="D84" s="218">
        <v>6.6</v>
      </c>
      <c r="E84" s="47">
        <v>6.6</v>
      </c>
      <c r="F84" s="50">
        <f t="shared" si="0"/>
        <v>0</v>
      </c>
    </row>
    <row r="85" spans="1:6" s="48" customFormat="1" outlineLevel="1" x14ac:dyDescent="0.25">
      <c r="A85" s="23"/>
      <c r="B85" s="214" t="s">
        <v>111</v>
      </c>
      <c r="C85" s="215" t="s">
        <v>9</v>
      </c>
      <c r="D85" s="218">
        <v>4.8</v>
      </c>
      <c r="E85" s="47">
        <v>4.8</v>
      </c>
      <c r="F85" s="50">
        <f t="shared" si="0"/>
        <v>0</v>
      </c>
    </row>
    <row r="86" spans="1:6" s="5" customFormat="1" outlineLevel="1" x14ac:dyDescent="0.25">
      <c r="A86" s="17"/>
      <c r="B86" s="211" t="s">
        <v>19</v>
      </c>
      <c r="C86" s="210" t="s">
        <v>4</v>
      </c>
      <c r="D86" s="212">
        <v>91.454999999999998</v>
      </c>
      <c r="E86" s="44">
        <v>91.5</v>
      </c>
      <c r="F86" s="50">
        <f t="shared" si="0"/>
        <v>4.5000000000001705E-2</v>
      </c>
    </row>
    <row r="87" spans="1:6" s="48" customFormat="1" outlineLevel="1" x14ac:dyDescent="0.25">
      <c r="A87" s="23"/>
      <c r="B87" s="22" t="s">
        <v>321</v>
      </c>
      <c r="C87" s="23" t="s">
        <v>4</v>
      </c>
      <c r="D87" s="47">
        <f>D86*1.02</f>
        <v>93.284099999999995</v>
      </c>
      <c r="E87" s="47">
        <v>92.87</v>
      </c>
      <c r="F87" s="50">
        <f t="shared" si="0"/>
        <v>-0.41409999999999059</v>
      </c>
    </row>
    <row r="88" spans="1:6" s="5" customFormat="1" outlineLevel="1" x14ac:dyDescent="0.25">
      <c r="A88" s="17"/>
      <c r="B88" s="211" t="s">
        <v>20</v>
      </c>
      <c r="C88" s="210" t="s">
        <v>11</v>
      </c>
      <c r="D88" s="212">
        <v>872.10599999999999</v>
      </c>
      <c r="E88" s="44">
        <f>E89</f>
        <v>145.02000000000001</v>
      </c>
      <c r="F88" s="50">
        <f t="shared" si="0"/>
        <v>-727.08600000000001</v>
      </c>
    </row>
    <row r="89" spans="1:6" s="5" customFormat="1" outlineLevel="1" x14ac:dyDescent="0.25">
      <c r="A89" s="54"/>
      <c r="B89" s="55" t="s">
        <v>326</v>
      </c>
      <c r="C89" s="54" t="s">
        <v>11</v>
      </c>
      <c r="D89" s="44"/>
      <c r="E89" s="44">
        <v>145.02000000000001</v>
      </c>
      <c r="F89" s="50">
        <f t="shared" si="0"/>
        <v>145.02000000000001</v>
      </c>
    </row>
    <row r="90" spans="1:6" s="5" customFormat="1" outlineLevel="1" x14ac:dyDescent="0.25">
      <c r="A90" s="17"/>
      <c r="B90" s="211" t="s">
        <v>21</v>
      </c>
      <c r="C90" s="210" t="s">
        <v>9</v>
      </c>
      <c r="D90" s="212">
        <v>17.100000000000001</v>
      </c>
      <c r="E90" s="44">
        <f>E91+E92+E93</f>
        <v>17.100000000000001</v>
      </c>
      <c r="F90" s="50">
        <f t="shared" si="0"/>
        <v>0</v>
      </c>
    </row>
    <row r="91" spans="1:6" s="48" customFormat="1" outlineLevel="1" x14ac:dyDescent="0.25">
      <c r="A91" s="23"/>
      <c r="B91" s="214" t="s">
        <v>52</v>
      </c>
      <c r="C91" s="215" t="s">
        <v>9</v>
      </c>
      <c r="D91" s="218">
        <v>12.8</v>
      </c>
      <c r="E91" s="47">
        <v>12.8</v>
      </c>
      <c r="F91" s="50">
        <f t="shared" si="0"/>
        <v>0</v>
      </c>
    </row>
    <row r="92" spans="1:6" s="48" customFormat="1" outlineLevel="1" x14ac:dyDescent="0.25">
      <c r="A92" s="23"/>
      <c r="B92" s="214" t="s">
        <v>111</v>
      </c>
      <c r="C92" s="215" t="s">
        <v>9</v>
      </c>
      <c r="D92" s="218">
        <v>3.7</v>
      </c>
      <c r="E92" s="47">
        <v>3.7</v>
      </c>
      <c r="F92" s="50">
        <f t="shared" si="0"/>
        <v>0</v>
      </c>
    </row>
    <row r="93" spans="1:6" s="48" customFormat="1" outlineLevel="1" x14ac:dyDescent="0.25">
      <c r="A93" s="23"/>
      <c r="B93" s="214" t="s">
        <v>38</v>
      </c>
      <c r="C93" s="215" t="s">
        <v>9</v>
      </c>
      <c r="D93" s="218">
        <v>0.6</v>
      </c>
      <c r="E93" s="47">
        <v>0.6</v>
      </c>
      <c r="F93" s="50">
        <f t="shared" si="0"/>
        <v>0</v>
      </c>
    </row>
    <row r="94" spans="1:6" s="5" customFormat="1" outlineLevel="1" x14ac:dyDescent="0.25">
      <c r="A94" s="17"/>
      <c r="B94" s="211" t="s">
        <v>22</v>
      </c>
      <c r="C94" s="210" t="s">
        <v>4</v>
      </c>
      <c r="D94" s="212">
        <v>140.84280000000001</v>
      </c>
      <c r="E94" s="44">
        <v>140.80000000000001</v>
      </c>
      <c r="F94" s="50">
        <f t="shared" si="0"/>
        <v>-4.2799999999999727E-2</v>
      </c>
    </row>
    <row r="95" spans="1:6" s="48" customFormat="1" outlineLevel="1" x14ac:dyDescent="0.25">
      <c r="A95" s="23"/>
      <c r="B95" s="22" t="s">
        <v>321</v>
      </c>
      <c r="C95" s="23" t="s">
        <v>4</v>
      </c>
      <c r="D95" s="47">
        <f>D94*1.02</f>
        <v>143.65965600000001</v>
      </c>
      <c r="E95" s="47">
        <v>142.91</v>
      </c>
      <c r="F95" s="50">
        <f t="shared" si="0"/>
        <v>-0.74965600000001587</v>
      </c>
    </row>
    <row r="96" spans="1:6" s="5" customFormat="1" x14ac:dyDescent="0.25">
      <c r="A96" s="19" t="s">
        <v>196</v>
      </c>
      <c r="B96" s="219" t="s">
        <v>23</v>
      </c>
      <c r="C96" s="220" t="s">
        <v>11</v>
      </c>
      <c r="D96" s="221">
        <v>440.76</v>
      </c>
      <c r="E96" s="45">
        <v>440.8</v>
      </c>
      <c r="F96" s="50">
        <f t="shared" si="0"/>
        <v>4.0000000000020464E-2</v>
      </c>
    </row>
    <row r="97" spans="1:6" s="5" customFormat="1" outlineLevel="1" x14ac:dyDescent="0.25">
      <c r="A97" s="54"/>
      <c r="B97" s="55" t="s">
        <v>325</v>
      </c>
      <c r="C97" s="54" t="s">
        <v>9</v>
      </c>
      <c r="D97" s="19"/>
      <c r="E97" s="59">
        <v>7.0000000000000007E-2</v>
      </c>
      <c r="F97" s="50">
        <f t="shared" si="0"/>
        <v>7.0000000000000007E-2</v>
      </c>
    </row>
    <row r="98" spans="1:6" s="5" customFormat="1" outlineLevel="1" x14ac:dyDescent="0.25">
      <c r="A98" s="54"/>
      <c r="B98" s="55" t="s">
        <v>317</v>
      </c>
      <c r="C98" s="54" t="s">
        <v>153</v>
      </c>
      <c r="D98" s="19"/>
      <c r="E98" s="44">
        <v>1939.52</v>
      </c>
      <c r="F98" s="50">
        <f t="shared" si="0"/>
        <v>1939.52</v>
      </c>
    </row>
    <row r="99" spans="1:6" s="5" customFormat="1" outlineLevel="1" x14ac:dyDescent="0.25">
      <c r="A99" s="54"/>
      <c r="B99" s="55" t="s">
        <v>314</v>
      </c>
      <c r="C99" s="54" t="s">
        <v>11</v>
      </c>
      <c r="D99" s="19"/>
      <c r="E99" s="44">
        <v>1013.84</v>
      </c>
      <c r="F99" s="50">
        <f t="shared" si="0"/>
        <v>1013.84</v>
      </c>
    </row>
    <row r="100" spans="1:6" s="4" customFormat="1" ht="15.75" collapsed="1" x14ac:dyDescent="0.25">
      <c r="A100" s="206" t="s">
        <v>197</v>
      </c>
      <c r="B100" s="207"/>
      <c r="C100" s="39"/>
      <c r="D100" s="16"/>
      <c r="E100" s="16"/>
      <c r="F100" s="50">
        <f t="shared" si="0"/>
        <v>0</v>
      </c>
    </row>
    <row r="101" spans="1:6" s="4" customFormat="1" ht="15.75" x14ac:dyDescent="0.25">
      <c r="A101" s="16" t="s">
        <v>198</v>
      </c>
      <c r="B101" s="21" t="s">
        <v>200</v>
      </c>
      <c r="C101" s="16" t="s">
        <v>11</v>
      </c>
      <c r="D101" s="43">
        <v>540.1</v>
      </c>
      <c r="E101" s="43">
        <f>E102/0.1</f>
        <v>540</v>
      </c>
      <c r="F101" s="50">
        <f>E101-D101</f>
        <v>-0.10000000000002274</v>
      </c>
    </row>
    <row r="102" spans="1:6" s="5" customFormat="1" outlineLevel="1" x14ac:dyDescent="0.25">
      <c r="A102" s="210"/>
      <c r="B102" s="211" t="s">
        <v>24</v>
      </c>
      <c r="C102" s="210" t="s">
        <v>4</v>
      </c>
      <c r="D102" s="44">
        <v>54.01</v>
      </c>
      <c r="E102" s="44">
        <v>54</v>
      </c>
      <c r="F102" s="50">
        <f>E102-D102</f>
        <v>-9.9999999999980105E-3</v>
      </c>
    </row>
    <row r="103" spans="1:6" s="5" customFormat="1" outlineLevel="1" x14ac:dyDescent="0.25">
      <c r="A103" s="17"/>
      <c r="B103" s="18" t="s">
        <v>313</v>
      </c>
      <c r="C103" s="17" t="s">
        <v>4</v>
      </c>
      <c r="D103" s="44">
        <f>D102*1.02</f>
        <v>55.090199999999996</v>
      </c>
      <c r="E103" s="44">
        <f>E102*1.02</f>
        <v>55.08</v>
      </c>
      <c r="F103" s="50">
        <f t="shared" si="0"/>
        <v>-1.0199999999997544E-2</v>
      </c>
    </row>
    <row r="104" spans="1:6" s="5" customFormat="1" outlineLevel="1" x14ac:dyDescent="0.25">
      <c r="A104" s="17"/>
      <c r="B104" s="211" t="s">
        <v>25</v>
      </c>
      <c r="C104" s="210" t="s">
        <v>11</v>
      </c>
      <c r="D104" s="212">
        <v>540.1</v>
      </c>
      <c r="E104" s="44">
        <v>540.1</v>
      </c>
      <c r="F104" s="50">
        <f t="shared" si="0"/>
        <v>0</v>
      </c>
    </row>
    <row r="105" spans="1:6" s="48" customFormat="1" outlineLevel="1" x14ac:dyDescent="0.25">
      <c r="A105" s="54"/>
      <c r="B105" s="55" t="s">
        <v>325</v>
      </c>
      <c r="C105" s="54" t="s">
        <v>9</v>
      </c>
      <c r="D105" s="47"/>
      <c r="E105" s="49">
        <v>8.5999999999999993E-2</v>
      </c>
      <c r="F105" s="50">
        <f t="shared" si="0"/>
        <v>8.5999999999999993E-2</v>
      </c>
    </row>
    <row r="106" spans="1:6" s="48" customFormat="1" outlineLevel="1" x14ac:dyDescent="0.25">
      <c r="A106" s="54"/>
      <c r="B106" s="55" t="s">
        <v>317</v>
      </c>
      <c r="C106" s="54" t="s">
        <v>153</v>
      </c>
      <c r="D106" s="47"/>
      <c r="E106" s="47">
        <v>2268.42</v>
      </c>
      <c r="F106" s="50">
        <f t="shared" si="0"/>
        <v>2268.42</v>
      </c>
    </row>
    <row r="107" spans="1:6" s="48" customFormat="1" outlineLevel="1" x14ac:dyDescent="0.25">
      <c r="A107" s="54"/>
      <c r="B107" s="55" t="s">
        <v>318</v>
      </c>
      <c r="C107" s="54" t="s">
        <v>4</v>
      </c>
      <c r="D107" s="47"/>
      <c r="E107" s="47">
        <v>13.5025</v>
      </c>
      <c r="F107" s="50">
        <f t="shared" si="0"/>
        <v>13.5025</v>
      </c>
    </row>
    <row r="108" spans="1:6" s="48" customFormat="1" outlineLevel="1" x14ac:dyDescent="0.25">
      <c r="A108" s="54"/>
      <c r="B108" s="55" t="s">
        <v>314</v>
      </c>
      <c r="C108" s="54" t="s">
        <v>11</v>
      </c>
      <c r="D108" s="47"/>
      <c r="E108" s="47">
        <v>1188.22</v>
      </c>
      <c r="F108" s="50">
        <f t="shared" si="0"/>
        <v>1188.22</v>
      </c>
    </row>
    <row r="109" spans="1:6" s="5" customFormat="1" outlineLevel="1" x14ac:dyDescent="0.25">
      <c r="A109" s="17"/>
      <c r="B109" s="211" t="s">
        <v>26</v>
      </c>
      <c r="C109" s="210" t="s">
        <v>11</v>
      </c>
      <c r="D109" s="212">
        <v>540.1</v>
      </c>
      <c r="E109" s="44">
        <v>540.1</v>
      </c>
      <c r="F109" s="50">
        <f t="shared" si="0"/>
        <v>0</v>
      </c>
    </row>
    <row r="110" spans="1:6" s="48" customFormat="1" outlineLevel="1" x14ac:dyDescent="0.25">
      <c r="A110" s="54"/>
      <c r="B110" s="55" t="s">
        <v>315</v>
      </c>
      <c r="C110" s="54" t="s">
        <v>4</v>
      </c>
      <c r="D110" s="47"/>
      <c r="E110" s="47">
        <v>14.13</v>
      </c>
      <c r="F110" s="50">
        <f t="shared" ref="F110:F175" si="3">E110-D110</f>
        <v>14.13</v>
      </c>
    </row>
    <row r="111" spans="1:6" s="48" customFormat="1" outlineLevel="1" x14ac:dyDescent="0.25">
      <c r="A111" s="54"/>
      <c r="B111" s="55" t="s">
        <v>316</v>
      </c>
      <c r="C111" s="54" t="s">
        <v>9</v>
      </c>
      <c r="D111" s="47"/>
      <c r="E111" s="49">
        <v>6.0540000000000003</v>
      </c>
      <c r="F111" s="50">
        <f t="shared" si="3"/>
        <v>6.0540000000000003</v>
      </c>
    </row>
    <row r="112" spans="1:6" s="5" customFormat="1" x14ac:dyDescent="0.25">
      <c r="A112" s="19" t="s">
        <v>199</v>
      </c>
      <c r="B112" s="20" t="s">
        <v>201</v>
      </c>
      <c r="C112" s="19" t="s">
        <v>4</v>
      </c>
      <c r="D112" s="45">
        <f>D118</f>
        <v>156.88200000000001</v>
      </c>
      <c r="E112" s="45">
        <v>156.9</v>
      </c>
      <c r="F112" s="50">
        <f t="shared" si="3"/>
        <v>1.8000000000000682E-2</v>
      </c>
    </row>
    <row r="113" spans="1:6" s="5" customFormat="1" outlineLevel="1" x14ac:dyDescent="0.25">
      <c r="A113" s="17"/>
      <c r="B113" s="211" t="s">
        <v>27</v>
      </c>
      <c r="C113" s="210" t="s">
        <v>11</v>
      </c>
      <c r="D113" s="212">
        <v>34.200000000000003</v>
      </c>
      <c r="E113" s="44">
        <f>E114</f>
        <v>5.65</v>
      </c>
      <c r="F113" s="50">
        <f t="shared" si="3"/>
        <v>-28.550000000000004</v>
      </c>
    </row>
    <row r="114" spans="1:6" s="5" customFormat="1" outlineLevel="1" x14ac:dyDescent="0.25">
      <c r="A114" s="54"/>
      <c r="B114" s="55" t="s">
        <v>326</v>
      </c>
      <c r="C114" s="54" t="s">
        <v>11</v>
      </c>
      <c r="D114" s="44"/>
      <c r="E114" s="44">
        <v>5.65</v>
      </c>
      <c r="F114" s="50">
        <f t="shared" si="3"/>
        <v>5.65</v>
      </c>
    </row>
    <row r="115" spans="1:6" s="5" customFormat="1" outlineLevel="1" x14ac:dyDescent="0.25">
      <c r="A115" s="17"/>
      <c r="B115" s="211" t="s">
        <v>28</v>
      </c>
      <c r="C115" s="210" t="s">
        <v>9</v>
      </c>
      <c r="D115" s="212">
        <v>20.98</v>
      </c>
      <c r="E115" s="44">
        <f>E116+E117</f>
        <v>20.98</v>
      </c>
      <c r="F115" s="50">
        <f t="shared" si="3"/>
        <v>0</v>
      </c>
    </row>
    <row r="116" spans="1:6" s="5" customFormat="1" outlineLevel="1" x14ac:dyDescent="0.25">
      <c r="A116" s="17"/>
      <c r="B116" s="211" t="s">
        <v>52</v>
      </c>
      <c r="C116" s="210" t="s">
        <v>9</v>
      </c>
      <c r="D116" s="212">
        <v>20.7</v>
      </c>
      <c r="E116" s="44">
        <v>20.7</v>
      </c>
      <c r="F116" s="50">
        <f t="shared" si="3"/>
        <v>0</v>
      </c>
    </row>
    <row r="117" spans="1:6" s="5" customFormat="1" outlineLevel="1" x14ac:dyDescent="0.25">
      <c r="A117" s="17"/>
      <c r="B117" s="211" t="s">
        <v>327</v>
      </c>
      <c r="C117" s="210" t="s">
        <v>9</v>
      </c>
      <c r="D117" s="212">
        <v>0.28000000000000003</v>
      </c>
      <c r="E117" s="44">
        <v>0.28000000000000003</v>
      </c>
      <c r="F117" s="50">
        <f t="shared" si="3"/>
        <v>0</v>
      </c>
    </row>
    <row r="118" spans="1:6" s="5" customFormat="1" outlineLevel="1" x14ac:dyDescent="0.25">
      <c r="A118" s="17"/>
      <c r="B118" s="211" t="s">
        <v>29</v>
      </c>
      <c r="C118" s="210" t="s">
        <v>4</v>
      </c>
      <c r="D118" s="212">
        <v>156.88200000000001</v>
      </c>
      <c r="E118" s="44">
        <v>156.9</v>
      </c>
      <c r="F118" s="50">
        <f t="shared" si="3"/>
        <v>1.8000000000000682E-2</v>
      </c>
    </row>
    <row r="119" spans="1:6" s="5" customFormat="1" outlineLevel="1" x14ac:dyDescent="0.25">
      <c r="A119" s="17"/>
      <c r="B119" s="18" t="s">
        <v>202</v>
      </c>
      <c r="C119" s="17" t="s">
        <v>4</v>
      </c>
      <c r="D119" s="44">
        <f>D118*1.02</f>
        <v>160.01964000000001</v>
      </c>
      <c r="E119" s="44">
        <f>E118*1.015</f>
        <v>159.2535</v>
      </c>
      <c r="F119" s="50">
        <f t="shared" si="3"/>
        <v>-0.76614000000000715</v>
      </c>
    </row>
    <row r="120" spans="1:6" s="5" customFormat="1" x14ac:dyDescent="0.25">
      <c r="A120" s="19" t="s">
        <v>203</v>
      </c>
      <c r="B120" s="20" t="s">
        <v>204</v>
      </c>
      <c r="C120" s="19" t="s">
        <v>4</v>
      </c>
      <c r="D120" s="24">
        <f>D126+D131</f>
        <v>86</v>
      </c>
      <c r="E120" s="24">
        <f>E126+E131</f>
        <v>86</v>
      </c>
      <c r="F120" s="50">
        <f t="shared" si="3"/>
        <v>0</v>
      </c>
    </row>
    <row r="121" spans="1:6" s="5" customFormat="1" outlineLevel="1" x14ac:dyDescent="0.25">
      <c r="A121" s="17"/>
      <c r="B121" s="211" t="s">
        <v>30</v>
      </c>
      <c r="C121" s="210" t="s">
        <v>11</v>
      </c>
      <c r="D121" s="222">
        <v>505.92500000000001</v>
      </c>
      <c r="E121" s="56">
        <f>E122</f>
        <v>82.9</v>
      </c>
      <c r="F121" s="50">
        <f t="shared" si="3"/>
        <v>-423.02499999999998</v>
      </c>
    </row>
    <row r="122" spans="1:6" s="5" customFormat="1" outlineLevel="1" x14ac:dyDescent="0.25">
      <c r="A122" s="54"/>
      <c r="B122" s="55" t="s">
        <v>326</v>
      </c>
      <c r="C122" s="54" t="s">
        <v>11</v>
      </c>
      <c r="D122" s="56"/>
      <c r="E122" s="56">
        <f>67.67+15.23</f>
        <v>82.9</v>
      </c>
      <c r="F122" s="50">
        <f t="shared" si="3"/>
        <v>82.9</v>
      </c>
    </row>
    <row r="123" spans="1:6" s="5" customFormat="1" outlineLevel="1" x14ac:dyDescent="0.25">
      <c r="A123" s="17"/>
      <c r="B123" s="211" t="s">
        <v>31</v>
      </c>
      <c r="C123" s="210" t="s">
        <v>9</v>
      </c>
      <c r="D123" s="222">
        <v>7.53</v>
      </c>
      <c r="E123" s="56">
        <f>E124+E125</f>
        <v>7.53</v>
      </c>
      <c r="F123" s="50">
        <f t="shared" si="3"/>
        <v>0</v>
      </c>
    </row>
    <row r="124" spans="1:6" s="5" customFormat="1" outlineLevel="1" x14ac:dyDescent="0.25">
      <c r="A124" s="17"/>
      <c r="B124" s="18" t="s">
        <v>52</v>
      </c>
      <c r="C124" s="210" t="s">
        <v>9</v>
      </c>
      <c r="D124" s="222">
        <v>6.9</v>
      </c>
      <c r="E124" s="56">
        <v>6.9</v>
      </c>
      <c r="F124" s="50">
        <f t="shared" si="3"/>
        <v>0</v>
      </c>
    </row>
    <row r="125" spans="1:6" s="5" customFormat="1" outlineLevel="1" x14ac:dyDescent="0.25">
      <c r="A125" s="17"/>
      <c r="B125" s="18" t="s">
        <v>327</v>
      </c>
      <c r="C125" s="210" t="s">
        <v>9</v>
      </c>
      <c r="D125" s="222">
        <v>0.63</v>
      </c>
      <c r="E125" s="56">
        <v>0.63</v>
      </c>
      <c r="F125" s="50">
        <f t="shared" si="3"/>
        <v>0</v>
      </c>
    </row>
    <row r="126" spans="1:6" s="5" customFormat="1" outlineLevel="1" x14ac:dyDescent="0.25">
      <c r="A126" s="17"/>
      <c r="B126" s="211" t="s">
        <v>32</v>
      </c>
      <c r="C126" s="210" t="s">
        <v>4</v>
      </c>
      <c r="D126" s="222">
        <v>65.7</v>
      </c>
      <c r="E126" s="56">
        <v>65.7</v>
      </c>
      <c r="F126" s="50">
        <f t="shared" si="3"/>
        <v>0</v>
      </c>
    </row>
    <row r="127" spans="1:6" s="5" customFormat="1" outlineLevel="1" x14ac:dyDescent="0.25">
      <c r="A127" s="17"/>
      <c r="B127" s="18" t="s">
        <v>202</v>
      </c>
      <c r="C127" s="17" t="s">
        <v>4</v>
      </c>
      <c r="D127" s="56">
        <f>D126*1.02</f>
        <v>67.01400000000001</v>
      </c>
      <c r="E127" s="56">
        <f>E126*1.015</f>
        <v>66.68549999999999</v>
      </c>
      <c r="F127" s="50">
        <f t="shared" si="3"/>
        <v>-0.32850000000001955</v>
      </c>
    </row>
    <row r="128" spans="1:6" s="5" customFormat="1" outlineLevel="1" x14ac:dyDescent="0.25">
      <c r="A128" s="17"/>
      <c r="B128" s="211" t="s">
        <v>33</v>
      </c>
      <c r="C128" s="210" t="s">
        <v>9</v>
      </c>
      <c r="D128" s="222">
        <v>3.05</v>
      </c>
      <c r="E128" s="56">
        <f>E129+E130</f>
        <v>3.05</v>
      </c>
      <c r="F128" s="50">
        <f t="shared" si="3"/>
        <v>0</v>
      </c>
    </row>
    <row r="129" spans="1:6" s="5" customFormat="1" outlineLevel="1" x14ac:dyDescent="0.25">
      <c r="A129" s="17"/>
      <c r="B129" s="18" t="s">
        <v>52</v>
      </c>
      <c r="C129" s="210" t="s">
        <v>9</v>
      </c>
      <c r="D129" s="222">
        <v>2.8</v>
      </c>
      <c r="E129" s="56">
        <v>2.8</v>
      </c>
      <c r="F129" s="50">
        <f t="shared" si="3"/>
        <v>0</v>
      </c>
    </row>
    <row r="130" spans="1:6" s="5" customFormat="1" outlineLevel="1" x14ac:dyDescent="0.25">
      <c r="A130" s="17"/>
      <c r="B130" s="18" t="s">
        <v>327</v>
      </c>
      <c r="C130" s="210" t="s">
        <v>9</v>
      </c>
      <c r="D130" s="222">
        <v>0.25</v>
      </c>
      <c r="E130" s="56">
        <v>0.25</v>
      </c>
      <c r="F130" s="50">
        <f t="shared" si="3"/>
        <v>0</v>
      </c>
    </row>
    <row r="131" spans="1:6" s="5" customFormat="1" outlineLevel="1" x14ac:dyDescent="0.25">
      <c r="A131" s="17"/>
      <c r="B131" s="211" t="s">
        <v>34</v>
      </c>
      <c r="C131" s="210" t="s">
        <v>4</v>
      </c>
      <c r="D131" s="222">
        <v>20.3</v>
      </c>
      <c r="E131" s="56">
        <v>20.3</v>
      </c>
      <c r="F131" s="50">
        <f t="shared" si="3"/>
        <v>0</v>
      </c>
    </row>
    <row r="132" spans="1:6" s="5" customFormat="1" outlineLevel="1" x14ac:dyDescent="0.25">
      <c r="A132" s="17"/>
      <c r="B132" s="18" t="s">
        <v>202</v>
      </c>
      <c r="C132" s="17" t="s">
        <v>4</v>
      </c>
      <c r="D132" s="56">
        <f>D131*1.02</f>
        <v>20.706</v>
      </c>
      <c r="E132" s="56">
        <f>E131*1.015</f>
        <v>20.604499999999998</v>
      </c>
      <c r="F132" s="50">
        <f t="shared" si="3"/>
        <v>-0.10150000000000148</v>
      </c>
    </row>
    <row r="133" spans="1:6" s="5" customFormat="1" x14ac:dyDescent="0.25">
      <c r="A133" s="19" t="s">
        <v>205</v>
      </c>
      <c r="B133" s="219" t="s">
        <v>35</v>
      </c>
      <c r="C133" s="220" t="s">
        <v>11</v>
      </c>
      <c r="D133" s="220">
        <v>229.80500000000001</v>
      </c>
      <c r="E133" s="24">
        <v>229.08</v>
      </c>
      <c r="F133" s="50">
        <f t="shared" si="3"/>
        <v>-0.72499999999999432</v>
      </c>
    </row>
    <row r="134" spans="1:6" s="5" customFormat="1" outlineLevel="1" x14ac:dyDescent="0.25">
      <c r="A134" s="54"/>
      <c r="B134" s="55" t="s">
        <v>325</v>
      </c>
      <c r="C134" s="54" t="s">
        <v>9</v>
      </c>
      <c r="D134" s="19"/>
      <c r="E134" s="59">
        <v>3.5999999999999997E-2</v>
      </c>
      <c r="F134" s="50">
        <f t="shared" si="3"/>
        <v>3.5999999999999997E-2</v>
      </c>
    </row>
    <row r="135" spans="1:6" s="5" customFormat="1" outlineLevel="1" x14ac:dyDescent="0.25">
      <c r="A135" s="54"/>
      <c r="B135" s="55" t="s">
        <v>317</v>
      </c>
      <c r="C135" s="54" t="s">
        <v>153</v>
      </c>
      <c r="D135" s="19"/>
      <c r="E135" s="44">
        <v>1011.12</v>
      </c>
      <c r="F135" s="50">
        <f t="shared" si="3"/>
        <v>1011.12</v>
      </c>
    </row>
    <row r="136" spans="1:6" s="5" customFormat="1" outlineLevel="1" x14ac:dyDescent="0.25">
      <c r="A136" s="54"/>
      <c r="B136" s="55" t="s">
        <v>314</v>
      </c>
      <c r="C136" s="54" t="s">
        <v>11</v>
      </c>
      <c r="D136" s="19"/>
      <c r="E136" s="44">
        <v>528.54</v>
      </c>
      <c r="F136" s="50">
        <f t="shared" si="3"/>
        <v>528.54</v>
      </c>
    </row>
    <row r="137" spans="1:6" s="4" customFormat="1" ht="17.25" customHeight="1" collapsed="1" x14ac:dyDescent="0.25">
      <c r="A137" s="206" t="s">
        <v>206</v>
      </c>
      <c r="B137" s="207"/>
      <c r="C137" s="39"/>
      <c r="D137" s="16"/>
      <c r="E137" s="16"/>
      <c r="F137" s="50">
        <f t="shared" si="3"/>
        <v>0</v>
      </c>
    </row>
    <row r="138" spans="1:6" s="4" customFormat="1" ht="18.75" customHeight="1" x14ac:dyDescent="0.25">
      <c r="A138" s="16" t="s">
        <v>207</v>
      </c>
      <c r="B138" s="15" t="s">
        <v>301</v>
      </c>
      <c r="C138" s="16" t="s">
        <v>4</v>
      </c>
      <c r="D138" s="43">
        <f>D146</f>
        <v>183.44</v>
      </c>
      <c r="E138" s="43">
        <f>E146</f>
        <v>183.44</v>
      </c>
      <c r="F138" s="50">
        <f t="shared" si="3"/>
        <v>0</v>
      </c>
    </row>
    <row r="139" spans="1:6" s="5" customFormat="1" outlineLevel="1" x14ac:dyDescent="0.25">
      <c r="A139" s="210"/>
      <c r="B139" s="223" t="s">
        <v>36</v>
      </c>
      <c r="C139" s="210" t="s">
        <v>11</v>
      </c>
      <c r="D139" s="224">
        <v>1699.7449999999999</v>
      </c>
      <c r="E139" s="60">
        <f>E140</f>
        <v>269.66000000000003</v>
      </c>
      <c r="F139" s="50">
        <f t="shared" si="3"/>
        <v>-1430.0849999999998</v>
      </c>
    </row>
    <row r="140" spans="1:6" s="5" customFormat="1" outlineLevel="1" x14ac:dyDescent="0.25">
      <c r="A140" s="54"/>
      <c r="B140" s="55" t="s">
        <v>326</v>
      </c>
      <c r="C140" s="54" t="s">
        <v>11</v>
      </c>
      <c r="D140" s="60"/>
      <c r="E140" s="60">
        <v>269.66000000000003</v>
      </c>
      <c r="F140" s="50">
        <f t="shared" si="3"/>
        <v>269.66000000000003</v>
      </c>
    </row>
    <row r="141" spans="1:6" s="5" customFormat="1" outlineLevel="1" x14ac:dyDescent="0.25">
      <c r="A141" s="17"/>
      <c r="B141" s="211" t="s">
        <v>37</v>
      </c>
      <c r="C141" s="210" t="s">
        <v>9</v>
      </c>
      <c r="D141" s="224">
        <v>22.9</v>
      </c>
      <c r="E141" s="60">
        <f>E142+E143+E144+E145</f>
        <v>22.900000000000002</v>
      </c>
      <c r="F141" s="50">
        <f t="shared" si="3"/>
        <v>0</v>
      </c>
    </row>
    <row r="142" spans="1:6" s="5" customFormat="1" outlineLevel="1" x14ac:dyDescent="0.25">
      <c r="A142" s="17"/>
      <c r="B142" s="211" t="s">
        <v>38</v>
      </c>
      <c r="C142" s="210" t="s">
        <v>9</v>
      </c>
      <c r="D142" s="224">
        <v>0.6</v>
      </c>
      <c r="E142" s="60">
        <v>0.6</v>
      </c>
      <c r="F142" s="50">
        <f t="shared" si="3"/>
        <v>0</v>
      </c>
    </row>
    <row r="143" spans="1:6" s="5" customFormat="1" outlineLevel="1" x14ac:dyDescent="0.25">
      <c r="A143" s="17"/>
      <c r="B143" s="211" t="s">
        <v>39</v>
      </c>
      <c r="C143" s="210" t="s">
        <v>9</v>
      </c>
      <c r="D143" s="224">
        <v>17.100000000000001</v>
      </c>
      <c r="E143" s="60">
        <v>17.100000000000001</v>
      </c>
      <c r="F143" s="50">
        <f t="shared" si="3"/>
        <v>0</v>
      </c>
    </row>
    <row r="144" spans="1:6" s="5" customFormat="1" outlineLevel="1" x14ac:dyDescent="0.25">
      <c r="A144" s="17"/>
      <c r="B144" s="211" t="s">
        <v>40</v>
      </c>
      <c r="C144" s="210" t="s">
        <v>9</v>
      </c>
      <c r="D144" s="224">
        <v>3.2</v>
      </c>
      <c r="E144" s="60">
        <v>3.2</v>
      </c>
      <c r="F144" s="50">
        <f t="shared" si="3"/>
        <v>0</v>
      </c>
    </row>
    <row r="145" spans="1:6" s="5" customFormat="1" outlineLevel="1" x14ac:dyDescent="0.25">
      <c r="A145" s="17"/>
      <c r="B145" s="211" t="s">
        <v>41</v>
      </c>
      <c r="C145" s="210" t="s">
        <v>9</v>
      </c>
      <c r="D145" s="224">
        <v>2</v>
      </c>
      <c r="E145" s="60">
        <v>2</v>
      </c>
      <c r="F145" s="50">
        <f t="shared" si="3"/>
        <v>0</v>
      </c>
    </row>
    <row r="146" spans="1:6" s="5" customFormat="1" ht="30.75" customHeight="1" outlineLevel="1" x14ac:dyDescent="0.25">
      <c r="A146" s="17"/>
      <c r="B146" s="225" t="s">
        <v>303</v>
      </c>
      <c r="C146" s="210" t="s">
        <v>4</v>
      </c>
      <c r="D146" s="224">
        <v>183.44</v>
      </c>
      <c r="E146" s="60">
        <v>183.44</v>
      </c>
      <c r="F146" s="50">
        <f t="shared" si="3"/>
        <v>0</v>
      </c>
    </row>
    <row r="147" spans="1:6" s="5" customFormat="1" ht="18" customHeight="1" outlineLevel="1" x14ac:dyDescent="0.25">
      <c r="A147" s="17"/>
      <c r="B147" s="18" t="s">
        <v>202</v>
      </c>
      <c r="C147" s="17" t="s">
        <v>4</v>
      </c>
      <c r="D147" s="60">
        <f>D146*1.02</f>
        <v>187.1088</v>
      </c>
      <c r="E147" s="60">
        <f>E146*1.015</f>
        <v>186.19159999999997</v>
      </c>
      <c r="F147" s="50">
        <f t="shared" si="3"/>
        <v>-0.91720000000003665</v>
      </c>
    </row>
    <row r="148" spans="1:6" s="5" customFormat="1" ht="28.5" customHeight="1" x14ac:dyDescent="0.25">
      <c r="A148" s="19" t="s">
        <v>208</v>
      </c>
      <c r="B148" s="26" t="s">
        <v>328</v>
      </c>
      <c r="C148" s="19" t="s">
        <v>11</v>
      </c>
      <c r="D148" s="61">
        <v>355</v>
      </c>
      <c r="E148" s="61">
        <v>355</v>
      </c>
      <c r="F148" s="50">
        <f t="shared" si="3"/>
        <v>0</v>
      </c>
    </row>
    <row r="149" spans="1:6" s="5" customFormat="1" outlineLevel="1" x14ac:dyDescent="0.25">
      <c r="A149" s="17"/>
      <c r="B149" s="211" t="s">
        <v>42</v>
      </c>
      <c r="C149" s="210" t="s">
        <v>11</v>
      </c>
      <c r="D149" s="224">
        <v>355</v>
      </c>
      <c r="E149" s="60">
        <v>355</v>
      </c>
      <c r="F149" s="50">
        <f t="shared" si="3"/>
        <v>0</v>
      </c>
    </row>
    <row r="150" spans="1:6" s="5" customFormat="1" outlineLevel="1" x14ac:dyDescent="0.25">
      <c r="A150" s="54"/>
      <c r="B150" s="55" t="s">
        <v>325</v>
      </c>
      <c r="C150" s="54" t="s">
        <v>9</v>
      </c>
      <c r="D150" s="19"/>
      <c r="E150" s="59">
        <v>5.7000000000000002E-2</v>
      </c>
      <c r="F150" s="50">
        <f t="shared" si="3"/>
        <v>5.7000000000000002E-2</v>
      </c>
    </row>
    <row r="151" spans="1:6" s="5" customFormat="1" outlineLevel="1" x14ac:dyDescent="0.25">
      <c r="A151" s="54"/>
      <c r="B151" s="55" t="s">
        <v>317</v>
      </c>
      <c r="C151" s="54" t="s">
        <v>153</v>
      </c>
      <c r="D151" s="19"/>
      <c r="E151" s="44">
        <v>1562</v>
      </c>
      <c r="F151" s="50">
        <f t="shared" si="3"/>
        <v>1562</v>
      </c>
    </row>
    <row r="152" spans="1:6" s="5" customFormat="1" outlineLevel="1" x14ac:dyDescent="0.25">
      <c r="A152" s="54"/>
      <c r="B152" s="55" t="s">
        <v>314</v>
      </c>
      <c r="C152" s="54" t="s">
        <v>11</v>
      </c>
      <c r="D152" s="19"/>
      <c r="E152" s="44">
        <v>816.5</v>
      </c>
      <c r="F152" s="50">
        <f t="shared" si="3"/>
        <v>816.5</v>
      </c>
    </row>
    <row r="153" spans="1:6" s="5" customFormat="1" outlineLevel="1" x14ac:dyDescent="0.25">
      <c r="A153" s="17"/>
      <c r="B153" s="211" t="s">
        <v>43</v>
      </c>
      <c r="C153" s="210" t="s">
        <v>11</v>
      </c>
      <c r="D153" s="224">
        <v>355</v>
      </c>
      <c r="E153" s="60">
        <v>355</v>
      </c>
      <c r="F153" s="50">
        <f t="shared" si="3"/>
        <v>0</v>
      </c>
    </row>
    <row r="154" spans="1:6" s="5" customFormat="1" outlineLevel="1" x14ac:dyDescent="0.25">
      <c r="A154" s="57"/>
      <c r="B154" s="58" t="s">
        <v>329</v>
      </c>
      <c r="C154" s="57" t="s">
        <v>4</v>
      </c>
      <c r="D154" s="60"/>
      <c r="E154" s="60">
        <v>35.5</v>
      </c>
      <c r="F154" s="50">
        <f t="shared" si="3"/>
        <v>35.5</v>
      </c>
    </row>
    <row r="155" spans="1:6" s="5" customFormat="1" ht="30" customHeight="1" outlineLevel="1" x14ac:dyDescent="0.25">
      <c r="A155" s="17"/>
      <c r="B155" s="225" t="s">
        <v>44</v>
      </c>
      <c r="C155" s="17" t="s">
        <v>11</v>
      </c>
      <c r="D155" s="60">
        <v>355</v>
      </c>
      <c r="E155" s="60">
        <v>355</v>
      </c>
      <c r="F155" s="50">
        <f t="shared" si="3"/>
        <v>0</v>
      </c>
    </row>
    <row r="156" spans="1:6" s="5" customFormat="1" outlineLevel="1" x14ac:dyDescent="0.25">
      <c r="A156" s="57"/>
      <c r="B156" s="58" t="s">
        <v>330</v>
      </c>
      <c r="C156" s="57" t="s">
        <v>4</v>
      </c>
      <c r="D156" s="60"/>
      <c r="E156" s="60">
        <v>8.1649999999999991</v>
      </c>
      <c r="F156" s="50">
        <f t="shared" si="3"/>
        <v>8.1649999999999991</v>
      </c>
    </row>
    <row r="157" spans="1:6" s="5" customFormat="1" outlineLevel="1" x14ac:dyDescent="0.25">
      <c r="A157" s="57"/>
      <c r="B157" s="58" t="s">
        <v>331</v>
      </c>
      <c r="C157" s="57" t="s">
        <v>332</v>
      </c>
      <c r="D157" s="60"/>
      <c r="E157" s="60">
        <v>17.75</v>
      </c>
      <c r="F157" s="50">
        <f t="shared" si="3"/>
        <v>17.75</v>
      </c>
    </row>
    <row r="158" spans="1:6" s="5" customFormat="1" ht="25.5" x14ac:dyDescent="0.25">
      <c r="A158" s="19" t="s">
        <v>210</v>
      </c>
      <c r="B158" s="26" t="s">
        <v>220</v>
      </c>
      <c r="C158" s="19" t="s">
        <v>4</v>
      </c>
      <c r="D158" s="61">
        <f>D164+D169</f>
        <v>106</v>
      </c>
      <c r="E158" s="61">
        <f>E164+E169</f>
        <v>106</v>
      </c>
      <c r="F158" s="50">
        <f t="shared" si="3"/>
        <v>0</v>
      </c>
    </row>
    <row r="159" spans="1:6" s="5" customFormat="1" outlineLevel="1" x14ac:dyDescent="0.25">
      <c r="A159" s="17"/>
      <c r="B159" s="211" t="s">
        <v>45</v>
      </c>
      <c r="C159" s="210" t="s">
        <v>11</v>
      </c>
      <c r="D159" s="224">
        <v>715.4</v>
      </c>
      <c r="E159" s="60">
        <f>E160</f>
        <v>143.11000000000001</v>
      </c>
      <c r="F159" s="50">
        <f t="shared" si="3"/>
        <v>-572.29</v>
      </c>
    </row>
    <row r="160" spans="1:6" s="5" customFormat="1" outlineLevel="1" x14ac:dyDescent="0.25">
      <c r="A160" s="54"/>
      <c r="B160" s="55" t="s">
        <v>326</v>
      </c>
      <c r="C160" s="54" t="s">
        <v>11</v>
      </c>
      <c r="D160" s="44"/>
      <c r="E160" s="44">
        <f>27.68+115.43</f>
        <v>143.11000000000001</v>
      </c>
      <c r="F160" s="50">
        <f t="shared" si="3"/>
        <v>143.11000000000001</v>
      </c>
    </row>
    <row r="161" spans="1:6" s="5" customFormat="1" outlineLevel="1" x14ac:dyDescent="0.25">
      <c r="A161" s="17"/>
      <c r="B161" s="211" t="s">
        <v>46</v>
      </c>
      <c r="C161" s="210" t="s">
        <v>9</v>
      </c>
      <c r="D161" s="224">
        <v>4.5999999999999996</v>
      </c>
      <c r="E161" s="60">
        <f>E162+E163</f>
        <v>4.5999999999999996</v>
      </c>
      <c r="F161" s="50">
        <f t="shared" si="3"/>
        <v>0</v>
      </c>
    </row>
    <row r="162" spans="1:6" s="5" customFormat="1" outlineLevel="1" x14ac:dyDescent="0.25">
      <c r="A162" s="17"/>
      <c r="B162" s="211" t="s">
        <v>41</v>
      </c>
      <c r="C162" s="210" t="s">
        <v>9</v>
      </c>
      <c r="D162" s="224">
        <v>4.3</v>
      </c>
      <c r="E162" s="60">
        <v>4.3</v>
      </c>
      <c r="F162" s="50">
        <f t="shared" si="3"/>
        <v>0</v>
      </c>
    </row>
    <row r="163" spans="1:6" s="5" customFormat="1" outlineLevel="1" x14ac:dyDescent="0.25">
      <c r="A163" s="17"/>
      <c r="B163" s="211" t="s">
        <v>38</v>
      </c>
      <c r="C163" s="210" t="s">
        <v>9</v>
      </c>
      <c r="D163" s="224">
        <v>0.3</v>
      </c>
      <c r="E163" s="60">
        <v>0.3</v>
      </c>
      <c r="F163" s="50">
        <f t="shared" si="3"/>
        <v>0</v>
      </c>
    </row>
    <row r="164" spans="1:6" s="5" customFormat="1" outlineLevel="1" x14ac:dyDescent="0.25">
      <c r="A164" s="17"/>
      <c r="B164" s="211" t="s">
        <v>47</v>
      </c>
      <c r="C164" s="210" t="s">
        <v>4</v>
      </c>
      <c r="D164" s="224">
        <v>20.5</v>
      </c>
      <c r="E164" s="60">
        <v>20.5</v>
      </c>
      <c r="F164" s="50">
        <f t="shared" si="3"/>
        <v>0</v>
      </c>
    </row>
    <row r="165" spans="1:6" s="5" customFormat="1" outlineLevel="1" x14ac:dyDescent="0.25">
      <c r="A165" s="17"/>
      <c r="B165" s="18" t="s">
        <v>333</v>
      </c>
      <c r="C165" s="17" t="s">
        <v>4</v>
      </c>
      <c r="D165" s="60">
        <f>D164*1.02</f>
        <v>20.91</v>
      </c>
      <c r="E165" s="60">
        <f>E164*1.015</f>
        <v>20.807499999999997</v>
      </c>
      <c r="F165" s="50">
        <f t="shared" si="3"/>
        <v>-0.1025000000000027</v>
      </c>
    </row>
    <row r="166" spans="1:6" s="5" customFormat="1" outlineLevel="1" x14ac:dyDescent="0.25">
      <c r="A166" s="17"/>
      <c r="B166" s="211" t="s">
        <v>48</v>
      </c>
      <c r="C166" s="210" t="s">
        <v>9</v>
      </c>
      <c r="D166" s="212">
        <v>19.2</v>
      </c>
      <c r="E166" s="44">
        <f>E167+E168</f>
        <v>19.2</v>
      </c>
      <c r="F166" s="50">
        <f t="shared" si="3"/>
        <v>0</v>
      </c>
    </row>
    <row r="167" spans="1:6" s="5" customFormat="1" outlineLevel="1" x14ac:dyDescent="0.25">
      <c r="A167" s="17"/>
      <c r="B167" s="211" t="s">
        <v>41</v>
      </c>
      <c r="C167" s="210" t="s">
        <v>9</v>
      </c>
      <c r="D167" s="224">
        <v>17.8</v>
      </c>
      <c r="E167" s="60">
        <v>17.8</v>
      </c>
      <c r="F167" s="50">
        <f t="shared" si="3"/>
        <v>0</v>
      </c>
    </row>
    <row r="168" spans="1:6" s="5" customFormat="1" outlineLevel="1" x14ac:dyDescent="0.25">
      <c r="A168" s="17"/>
      <c r="B168" s="211" t="s">
        <v>38</v>
      </c>
      <c r="C168" s="210" t="s">
        <v>9</v>
      </c>
      <c r="D168" s="224">
        <v>1.4</v>
      </c>
      <c r="E168" s="60">
        <v>1.4</v>
      </c>
      <c r="F168" s="50">
        <f t="shared" si="3"/>
        <v>0</v>
      </c>
    </row>
    <row r="169" spans="1:6" s="5" customFormat="1" outlineLevel="1" x14ac:dyDescent="0.25">
      <c r="A169" s="17"/>
      <c r="B169" s="211" t="s">
        <v>49</v>
      </c>
      <c r="C169" s="210" t="s">
        <v>4</v>
      </c>
      <c r="D169" s="224">
        <v>85.5</v>
      </c>
      <c r="E169" s="60">
        <v>85.5</v>
      </c>
      <c r="F169" s="50">
        <f t="shared" si="3"/>
        <v>0</v>
      </c>
    </row>
    <row r="170" spans="1:6" s="5" customFormat="1" outlineLevel="1" x14ac:dyDescent="0.25">
      <c r="A170" s="17"/>
      <c r="B170" s="18" t="s">
        <v>333</v>
      </c>
      <c r="C170" s="17" t="s">
        <v>4</v>
      </c>
      <c r="D170" s="60">
        <f>D169*1.02</f>
        <v>87.210000000000008</v>
      </c>
      <c r="E170" s="60">
        <f>E169*1.015</f>
        <v>86.782499999999985</v>
      </c>
      <c r="F170" s="50">
        <f t="shared" si="3"/>
        <v>-0.42750000000002331</v>
      </c>
    </row>
    <row r="171" spans="1:6" s="5" customFormat="1" x14ac:dyDescent="0.25">
      <c r="A171" s="19" t="s">
        <v>211</v>
      </c>
      <c r="B171" s="20" t="s">
        <v>219</v>
      </c>
      <c r="C171" s="19" t="s">
        <v>4</v>
      </c>
      <c r="D171" s="61">
        <f>D181</f>
        <v>1050</v>
      </c>
      <c r="E171" s="61">
        <f>E181</f>
        <v>1050</v>
      </c>
      <c r="F171" s="50">
        <f t="shared" si="3"/>
        <v>0</v>
      </c>
    </row>
    <row r="172" spans="1:6" s="5" customFormat="1" outlineLevel="1" x14ac:dyDescent="0.25">
      <c r="A172" s="17"/>
      <c r="B172" s="211" t="s">
        <v>50</v>
      </c>
      <c r="C172" s="210" t="s">
        <v>11</v>
      </c>
      <c r="D172" s="224">
        <v>4737.6000000000004</v>
      </c>
      <c r="E172" s="60">
        <f>E173</f>
        <v>552.29999999999995</v>
      </c>
      <c r="F172" s="50">
        <f t="shared" si="3"/>
        <v>-4185.3</v>
      </c>
    </row>
    <row r="173" spans="1:6" s="5" customFormat="1" outlineLevel="1" x14ac:dyDescent="0.25">
      <c r="A173" s="54"/>
      <c r="B173" s="55" t="s">
        <v>326</v>
      </c>
      <c r="C173" s="54" t="s">
        <v>11</v>
      </c>
      <c r="D173" s="44"/>
      <c r="E173" s="44">
        <v>552.29999999999995</v>
      </c>
      <c r="F173" s="50">
        <f t="shared" si="3"/>
        <v>552.29999999999995</v>
      </c>
    </row>
    <row r="174" spans="1:6" s="5" customFormat="1" outlineLevel="1" x14ac:dyDescent="0.25">
      <c r="A174" s="54"/>
      <c r="B174" s="55" t="s">
        <v>335</v>
      </c>
      <c r="C174" s="54" t="s">
        <v>135</v>
      </c>
      <c r="D174" s="44"/>
      <c r="E174" s="44">
        <v>24.15</v>
      </c>
      <c r="F174" s="50">
        <f t="shared" si="3"/>
        <v>24.15</v>
      </c>
    </row>
    <row r="175" spans="1:6" s="5" customFormat="1" outlineLevel="1" x14ac:dyDescent="0.25">
      <c r="A175" s="17"/>
      <c r="B175" s="211" t="s">
        <v>51</v>
      </c>
      <c r="C175" s="210" t="s">
        <v>9</v>
      </c>
      <c r="D175" s="212">
        <v>195</v>
      </c>
      <c r="E175" s="44"/>
      <c r="F175" s="50">
        <f t="shared" si="3"/>
        <v>-195</v>
      </c>
    </row>
    <row r="176" spans="1:6" s="5" customFormat="1" outlineLevel="1" x14ac:dyDescent="0.25">
      <c r="A176" s="57"/>
      <c r="B176" s="58" t="s">
        <v>334</v>
      </c>
      <c r="C176" s="57" t="s">
        <v>9</v>
      </c>
      <c r="D176" s="44"/>
      <c r="E176" s="44">
        <v>2.52</v>
      </c>
      <c r="F176" s="50">
        <f t="shared" ref="F176:F182" si="4">E176-D176</f>
        <v>2.52</v>
      </c>
    </row>
    <row r="177" spans="1:6" s="5" customFormat="1" outlineLevel="1" x14ac:dyDescent="0.25">
      <c r="A177" s="17"/>
      <c r="B177" s="211" t="s">
        <v>52</v>
      </c>
      <c r="C177" s="210" t="s">
        <v>9</v>
      </c>
      <c r="D177" s="224">
        <v>107.25</v>
      </c>
      <c r="E177" s="60">
        <v>107.25</v>
      </c>
      <c r="F177" s="50">
        <f t="shared" si="4"/>
        <v>0</v>
      </c>
    </row>
    <row r="178" spans="1:6" s="5" customFormat="1" outlineLevel="1" x14ac:dyDescent="0.25">
      <c r="A178" s="17"/>
      <c r="B178" s="211" t="s">
        <v>53</v>
      </c>
      <c r="C178" s="210" t="s">
        <v>9</v>
      </c>
      <c r="D178" s="224">
        <v>31.2</v>
      </c>
      <c r="E178" s="60">
        <v>31.2</v>
      </c>
      <c r="F178" s="50">
        <f t="shared" si="4"/>
        <v>0</v>
      </c>
    </row>
    <row r="179" spans="1:6" s="5" customFormat="1" outlineLevel="1" x14ac:dyDescent="0.25">
      <c r="A179" s="17"/>
      <c r="B179" s="211" t="s">
        <v>41</v>
      </c>
      <c r="C179" s="210" t="s">
        <v>9</v>
      </c>
      <c r="D179" s="224">
        <v>46.8</v>
      </c>
      <c r="E179" s="60">
        <v>46.8</v>
      </c>
      <c r="F179" s="50">
        <f t="shared" si="4"/>
        <v>0</v>
      </c>
    </row>
    <row r="180" spans="1:6" s="5" customFormat="1" outlineLevel="1" x14ac:dyDescent="0.25">
      <c r="A180" s="17"/>
      <c r="B180" s="211" t="s">
        <v>38</v>
      </c>
      <c r="C180" s="210" t="s">
        <v>9</v>
      </c>
      <c r="D180" s="224">
        <v>9.75</v>
      </c>
      <c r="E180" s="60">
        <v>9.75</v>
      </c>
      <c r="F180" s="50">
        <f t="shared" si="4"/>
        <v>0</v>
      </c>
    </row>
    <row r="181" spans="1:6" s="5" customFormat="1" outlineLevel="1" x14ac:dyDescent="0.25">
      <c r="A181" s="17"/>
      <c r="B181" s="211" t="s">
        <v>54</v>
      </c>
      <c r="C181" s="210" t="s">
        <v>4</v>
      </c>
      <c r="D181" s="224">
        <v>1050</v>
      </c>
      <c r="E181" s="60">
        <v>1050</v>
      </c>
      <c r="F181" s="50">
        <f t="shared" si="4"/>
        <v>0</v>
      </c>
    </row>
    <row r="182" spans="1:6" s="5" customFormat="1" outlineLevel="1" x14ac:dyDescent="0.25">
      <c r="A182" s="17"/>
      <c r="B182" s="18" t="s">
        <v>333</v>
      </c>
      <c r="C182" s="17" t="s">
        <v>4</v>
      </c>
      <c r="D182" s="60">
        <f>D181*1.02</f>
        <v>1071</v>
      </c>
      <c r="E182" s="60">
        <f>E181*1.015</f>
        <v>1065.75</v>
      </c>
      <c r="F182" s="50">
        <f t="shared" si="4"/>
        <v>-5.25</v>
      </c>
    </row>
    <row r="183" spans="1:6" s="5" customFormat="1" x14ac:dyDescent="0.25">
      <c r="A183" s="19" t="s">
        <v>212</v>
      </c>
      <c r="B183" s="20" t="s">
        <v>213</v>
      </c>
      <c r="C183" s="19" t="s">
        <v>4</v>
      </c>
      <c r="D183" s="61">
        <f>D191</f>
        <v>16.8</v>
      </c>
      <c r="E183" s="61">
        <f>E191</f>
        <v>16.8</v>
      </c>
      <c r="F183" s="50">
        <f t="shared" ref="F183" si="5">E183-D183</f>
        <v>0</v>
      </c>
    </row>
    <row r="184" spans="1:6" s="5" customFormat="1" outlineLevel="1" x14ac:dyDescent="0.25">
      <c r="A184" s="17"/>
      <c r="B184" s="211" t="s">
        <v>55</v>
      </c>
      <c r="C184" s="210" t="s">
        <v>11</v>
      </c>
      <c r="D184" s="224">
        <v>84.7</v>
      </c>
      <c r="E184" s="60">
        <f>E185</f>
        <v>24.23</v>
      </c>
      <c r="F184" s="50">
        <f t="shared" ref="F184:F206" si="6">E184-D184</f>
        <v>-60.47</v>
      </c>
    </row>
    <row r="185" spans="1:6" s="5" customFormat="1" outlineLevel="1" x14ac:dyDescent="0.25">
      <c r="A185" s="54"/>
      <c r="B185" s="55" t="s">
        <v>326</v>
      </c>
      <c r="C185" s="54" t="s">
        <v>11</v>
      </c>
      <c r="D185" s="44"/>
      <c r="E185" s="44">
        <v>24.23</v>
      </c>
      <c r="F185" s="50">
        <f t="shared" si="6"/>
        <v>24.23</v>
      </c>
    </row>
    <row r="186" spans="1:6" s="5" customFormat="1" outlineLevel="1" x14ac:dyDescent="0.25">
      <c r="A186" s="54"/>
      <c r="B186" s="55" t="s">
        <v>335</v>
      </c>
      <c r="C186" s="54" t="s">
        <v>135</v>
      </c>
      <c r="D186" s="44"/>
      <c r="E186" s="44">
        <v>0.82</v>
      </c>
      <c r="F186" s="50">
        <f t="shared" si="6"/>
        <v>0.82</v>
      </c>
    </row>
    <row r="187" spans="1:6" s="5" customFormat="1" outlineLevel="1" x14ac:dyDescent="0.25">
      <c r="A187" s="17"/>
      <c r="B187" s="211" t="s">
        <v>56</v>
      </c>
      <c r="C187" s="210" t="s">
        <v>9</v>
      </c>
      <c r="D187" s="212">
        <v>2.9</v>
      </c>
      <c r="E187" s="46">
        <f>E188+E189+E190</f>
        <v>3.0070000000000001</v>
      </c>
      <c r="F187" s="50">
        <f t="shared" si="6"/>
        <v>0.10700000000000021</v>
      </c>
    </row>
    <row r="188" spans="1:6" s="5" customFormat="1" outlineLevel="1" x14ac:dyDescent="0.25">
      <c r="A188" s="57"/>
      <c r="B188" s="58" t="s">
        <v>334</v>
      </c>
      <c r="C188" s="57" t="s">
        <v>9</v>
      </c>
      <c r="D188" s="44"/>
      <c r="E188" s="46">
        <v>0.107</v>
      </c>
      <c r="F188" s="50">
        <f t="shared" si="6"/>
        <v>0.107</v>
      </c>
    </row>
    <row r="189" spans="1:6" s="5" customFormat="1" outlineLevel="1" x14ac:dyDescent="0.25">
      <c r="A189" s="17"/>
      <c r="B189" s="211" t="s">
        <v>39</v>
      </c>
      <c r="C189" s="210" t="s">
        <v>9</v>
      </c>
      <c r="D189" s="224">
        <v>2.5</v>
      </c>
      <c r="E189" s="60">
        <v>2.5</v>
      </c>
      <c r="F189" s="50">
        <f t="shared" si="6"/>
        <v>0</v>
      </c>
    </row>
    <row r="190" spans="1:6" s="5" customFormat="1" outlineLevel="1" x14ac:dyDescent="0.25">
      <c r="A190" s="17"/>
      <c r="B190" s="211" t="s">
        <v>38</v>
      </c>
      <c r="C190" s="210" t="s">
        <v>9</v>
      </c>
      <c r="D190" s="224">
        <v>0.4</v>
      </c>
      <c r="E190" s="60">
        <v>0.4</v>
      </c>
      <c r="F190" s="50">
        <f t="shared" si="6"/>
        <v>0</v>
      </c>
    </row>
    <row r="191" spans="1:6" s="5" customFormat="1" outlineLevel="1" x14ac:dyDescent="0.25">
      <c r="A191" s="17"/>
      <c r="B191" s="211" t="s">
        <v>57</v>
      </c>
      <c r="C191" s="210" t="s">
        <v>4</v>
      </c>
      <c r="D191" s="224">
        <v>16.8</v>
      </c>
      <c r="E191" s="60">
        <v>16.8</v>
      </c>
      <c r="F191" s="50">
        <f t="shared" si="6"/>
        <v>0</v>
      </c>
    </row>
    <row r="192" spans="1:6" s="5" customFormat="1" outlineLevel="1" x14ac:dyDescent="0.25">
      <c r="A192" s="17"/>
      <c r="B192" s="18" t="s">
        <v>333</v>
      </c>
      <c r="C192" s="17" t="s">
        <v>4</v>
      </c>
      <c r="D192" s="60">
        <f>D191*1.02</f>
        <v>17.136000000000003</v>
      </c>
      <c r="E192" s="60">
        <f>E191*1.015</f>
        <v>17.052</v>
      </c>
      <c r="F192" s="50">
        <f t="shared" si="6"/>
        <v>-8.4000000000003183E-2</v>
      </c>
    </row>
    <row r="193" spans="1:6" s="5" customFormat="1" x14ac:dyDescent="0.25">
      <c r="A193" s="19" t="s">
        <v>214</v>
      </c>
      <c r="B193" s="20" t="s">
        <v>216</v>
      </c>
      <c r="C193" s="19" t="s">
        <v>4</v>
      </c>
      <c r="D193" s="61">
        <f>D199</f>
        <v>5.95</v>
      </c>
      <c r="E193" s="61">
        <f>E199</f>
        <v>6</v>
      </c>
      <c r="F193" s="50">
        <f t="shared" si="6"/>
        <v>4.9999999999999822E-2</v>
      </c>
    </row>
    <row r="194" spans="1:6" s="5" customFormat="1" outlineLevel="1" x14ac:dyDescent="0.25">
      <c r="A194" s="17"/>
      <c r="B194" s="211" t="s">
        <v>58</v>
      </c>
      <c r="C194" s="210" t="s">
        <v>11</v>
      </c>
      <c r="D194" s="224">
        <v>23.8</v>
      </c>
      <c r="E194" s="60">
        <f>E195</f>
        <v>0.22</v>
      </c>
      <c r="F194" s="50">
        <f t="shared" si="6"/>
        <v>-23.580000000000002</v>
      </c>
    </row>
    <row r="195" spans="1:6" s="5" customFormat="1" outlineLevel="1" x14ac:dyDescent="0.25">
      <c r="A195" s="54"/>
      <c r="B195" s="55" t="s">
        <v>326</v>
      </c>
      <c r="C195" s="54" t="s">
        <v>11</v>
      </c>
      <c r="D195" s="44"/>
      <c r="E195" s="44">
        <v>0.22</v>
      </c>
      <c r="F195" s="50">
        <f t="shared" si="6"/>
        <v>0.22</v>
      </c>
    </row>
    <row r="196" spans="1:6" s="5" customFormat="1" outlineLevel="1" x14ac:dyDescent="0.25">
      <c r="A196" s="17"/>
      <c r="B196" s="211" t="s">
        <v>59</v>
      </c>
      <c r="C196" s="210" t="s">
        <v>9</v>
      </c>
      <c r="D196" s="224">
        <v>0.79500000000000004</v>
      </c>
      <c r="E196" s="62">
        <f>E197+E198</f>
        <v>0.79500000000000004</v>
      </c>
      <c r="F196" s="50">
        <f t="shared" si="6"/>
        <v>0</v>
      </c>
    </row>
    <row r="197" spans="1:6" s="5" customFormat="1" outlineLevel="1" x14ac:dyDescent="0.25">
      <c r="A197" s="17"/>
      <c r="B197" s="211" t="s">
        <v>39</v>
      </c>
      <c r="C197" s="210" t="s">
        <v>9</v>
      </c>
      <c r="D197" s="224">
        <v>0.75</v>
      </c>
      <c r="E197" s="60">
        <v>0.75</v>
      </c>
      <c r="F197" s="50">
        <f t="shared" si="6"/>
        <v>0</v>
      </c>
    </row>
    <row r="198" spans="1:6" s="5" customFormat="1" outlineLevel="1" x14ac:dyDescent="0.25">
      <c r="A198" s="17"/>
      <c r="B198" s="211" t="s">
        <v>38</v>
      </c>
      <c r="C198" s="210" t="s">
        <v>9</v>
      </c>
      <c r="D198" s="224">
        <v>4.4999999999999998E-2</v>
      </c>
      <c r="E198" s="62">
        <v>4.4999999999999998E-2</v>
      </c>
      <c r="F198" s="50">
        <f t="shared" si="6"/>
        <v>0</v>
      </c>
    </row>
    <row r="199" spans="1:6" s="5" customFormat="1" outlineLevel="1" x14ac:dyDescent="0.25">
      <c r="A199" s="17"/>
      <c r="B199" s="211" t="s">
        <v>60</v>
      </c>
      <c r="C199" s="210" t="s">
        <v>4</v>
      </c>
      <c r="D199" s="224">
        <v>5.95</v>
      </c>
      <c r="E199" s="60">
        <v>6</v>
      </c>
      <c r="F199" s="50">
        <f t="shared" si="6"/>
        <v>4.9999999999999822E-2</v>
      </c>
    </row>
    <row r="200" spans="1:6" s="5" customFormat="1" outlineLevel="1" x14ac:dyDescent="0.25">
      <c r="A200" s="17"/>
      <c r="B200" s="18" t="s">
        <v>333</v>
      </c>
      <c r="C200" s="17" t="s">
        <v>4</v>
      </c>
      <c r="D200" s="60">
        <f>D199*1.02</f>
        <v>6.069</v>
      </c>
      <c r="E200" s="60">
        <f>E199*1.015</f>
        <v>6.09</v>
      </c>
      <c r="F200" s="50">
        <f t="shared" si="6"/>
        <v>2.0999999999999908E-2</v>
      </c>
    </row>
    <row r="201" spans="1:6" s="5" customFormat="1" ht="25.5" x14ac:dyDescent="0.25">
      <c r="A201" s="19" t="s">
        <v>215</v>
      </c>
      <c r="B201" s="26" t="s">
        <v>218</v>
      </c>
      <c r="C201" s="19" t="s">
        <v>4</v>
      </c>
      <c r="D201" s="61">
        <f>D207</f>
        <v>11.276</v>
      </c>
      <c r="E201" s="61">
        <f>E207</f>
        <v>11.3</v>
      </c>
      <c r="F201" s="50">
        <f t="shared" si="6"/>
        <v>2.4000000000000909E-2</v>
      </c>
    </row>
    <row r="202" spans="1:6" s="5" customFormat="1" outlineLevel="1" x14ac:dyDescent="0.25">
      <c r="A202" s="17"/>
      <c r="B202" s="211" t="s">
        <v>61</v>
      </c>
      <c r="C202" s="210" t="s">
        <v>11</v>
      </c>
      <c r="D202" s="224">
        <v>153.69999999999999</v>
      </c>
      <c r="E202" s="60">
        <f>E203</f>
        <v>16.61</v>
      </c>
      <c r="F202" s="50">
        <f t="shared" si="6"/>
        <v>-137.08999999999997</v>
      </c>
    </row>
    <row r="203" spans="1:6" s="5" customFormat="1" outlineLevel="1" x14ac:dyDescent="0.25">
      <c r="A203" s="54"/>
      <c r="B203" s="55" t="s">
        <v>326</v>
      </c>
      <c r="C203" s="54" t="s">
        <v>11</v>
      </c>
      <c r="D203" s="44"/>
      <c r="E203" s="44">
        <v>16.61</v>
      </c>
      <c r="F203" s="50">
        <f t="shared" ref="F203" si="7">E203-D203</f>
        <v>16.61</v>
      </c>
    </row>
    <row r="204" spans="1:6" s="5" customFormat="1" outlineLevel="1" x14ac:dyDescent="0.25">
      <c r="A204" s="17"/>
      <c r="B204" s="211" t="s">
        <v>62</v>
      </c>
      <c r="C204" s="210" t="s">
        <v>9</v>
      </c>
      <c r="D204" s="212">
        <v>2.1</v>
      </c>
      <c r="E204" s="44">
        <f>E205+E206</f>
        <v>2.1</v>
      </c>
      <c r="F204" s="50">
        <f t="shared" si="6"/>
        <v>0</v>
      </c>
    </row>
    <row r="205" spans="1:6" s="5" customFormat="1" outlineLevel="1" x14ac:dyDescent="0.25">
      <c r="A205" s="17"/>
      <c r="B205" s="211" t="s">
        <v>38</v>
      </c>
      <c r="C205" s="210" t="s">
        <v>9</v>
      </c>
      <c r="D205" s="224">
        <v>0.2</v>
      </c>
      <c r="E205" s="60">
        <v>0.2</v>
      </c>
      <c r="F205" s="50">
        <f t="shared" si="6"/>
        <v>0</v>
      </c>
    </row>
    <row r="206" spans="1:6" s="5" customFormat="1" outlineLevel="1" x14ac:dyDescent="0.25">
      <c r="A206" s="17"/>
      <c r="B206" s="211" t="s">
        <v>52</v>
      </c>
      <c r="C206" s="210" t="s">
        <v>9</v>
      </c>
      <c r="D206" s="224">
        <v>1.9</v>
      </c>
      <c r="E206" s="60">
        <v>1.9</v>
      </c>
      <c r="F206" s="50">
        <f t="shared" si="6"/>
        <v>0</v>
      </c>
    </row>
    <row r="207" spans="1:6" s="5" customFormat="1" outlineLevel="1" x14ac:dyDescent="0.25">
      <c r="A207" s="17"/>
      <c r="B207" s="211" t="s">
        <v>217</v>
      </c>
      <c r="C207" s="210" t="s">
        <v>4</v>
      </c>
      <c r="D207" s="224">
        <v>11.276</v>
      </c>
      <c r="E207" s="60">
        <v>11.3</v>
      </c>
      <c r="F207" s="50">
        <f t="shared" ref="F207:F287" si="8">E207-D207</f>
        <v>2.4000000000000909E-2</v>
      </c>
    </row>
    <row r="208" spans="1:6" s="5" customFormat="1" outlineLevel="1" x14ac:dyDescent="0.25">
      <c r="A208" s="17"/>
      <c r="B208" s="18" t="s">
        <v>333</v>
      </c>
      <c r="C208" s="17" t="s">
        <v>4</v>
      </c>
      <c r="D208" s="60">
        <f>D207*1.02</f>
        <v>11.501519999999999</v>
      </c>
      <c r="E208" s="60">
        <f>E207*1.015</f>
        <v>11.4695</v>
      </c>
      <c r="F208" s="50">
        <f t="shared" si="8"/>
        <v>-3.2019999999999271E-2</v>
      </c>
    </row>
    <row r="209" spans="1:6" s="4" customFormat="1" ht="15.75" collapsed="1" x14ac:dyDescent="0.25">
      <c r="A209" s="206" t="s">
        <v>221</v>
      </c>
      <c r="B209" s="207"/>
      <c r="C209" s="39"/>
      <c r="D209" s="43"/>
      <c r="E209" s="43"/>
      <c r="F209" s="50">
        <f t="shared" si="8"/>
        <v>0</v>
      </c>
    </row>
    <row r="210" spans="1:6" s="4" customFormat="1" ht="15.75" x14ac:dyDescent="0.25">
      <c r="A210" s="16" t="s">
        <v>222</v>
      </c>
      <c r="B210" s="21" t="s">
        <v>224</v>
      </c>
      <c r="C210" s="16" t="s">
        <v>4</v>
      </c>
      <c r="D210" s="43">
        <f>D219</f>
        <v>75.918999999999997</v>
      </c>
      <c r="E210" s="43">
        <f>E219</f>
        <v>75.900000000000006</v>
      </c>
      <c r="F210" s="50">
        <f t="shared" si="8"/>
        <v>-1.8999999999991246E-2</v>
      </c>
    </row>
    <row r="211" spans="1:6" s="5" customFormat="1" outlineLevel="1" x14ac:dyDescent="0.25">
      <c r="A211" s="210"/>
      <c r="B211" s="223" t="s">
        <v>20</v>
      </c>
      <c r="C211" s="210" t="s">
        <v>11</v>
      </c>
      <c r="D211" s="224">
        <v>673.08</v>
      </c>
      <c r="E211" s="60">
        <f>E212</f>
        <v>111.57</v>
      </c>
      <c r="F211" s="50">
        <f t="shared" si="8"/>
        <v>-561.51</v>
      </c>
    </row>
    <row r="212" spans="1:6" s="5" customFormat="1" outlineLevel="1" x14ac:dyDescent="0.25">
      <c r="A212" s="54"/>
      <c r="B212" s="55" t="s">
        <v>326</v>
      </c>
      <c r="C212" s="54" t="s">
        <v>11</v>
      </c>
      <c r="D212" s="44"/>
      <c r="E212" s="44">
        <v>111.57</v>
      </c>
      <c r="F212" s="50">
        <f t="shared" si="8"/>
        <v>111.57</v>
      </c>
    </row>
    <row r="213" spans="1:6" s="5" customFormat="1" outlineLevel="1" x14ac:dyDescent="0.25">
      <c r="A213" s="17"/>
      <c r="B213" s="211" t="s">
        <v>63</v>
      </c>
      <c r="C213" s="210" t="s">
        <v>9</v>
      </c>
      <c r="D213" s="224">
        <v>15.2</v>
      </c>
      <c r="E213" s="60">
        <f>E214+E215+E216+E217+E218</f>
        <v>15.2</v>
      </c>
      <c r="F213" s="50">
        <f t="shared" si="8"/>
        <v>0</v>
      </c>
    </row>
    <row r="214" spans="1:6" s="5" customFormat="1" outlineLevel="1" x14ac:dyDescent="0.25">
      <c r="A214" s="17"/>
      <c r="B214" s="211" t="s">
        <v>38</v>
      </c>
      <c r="C214" s="210" t="s">
        <v>9</v>
      </c>
      <c r="D214" s="224">
        <v>0.4</v>
      </c>
      <c r="E214" s="60">
        <v>0.4</v>
      </c>
      <c r="F214" s="50">
        <f t="shared" si="8"/>
        <v>0</v>
      </c>
    </row>
    <row r="215" spans="1:6" s="5" customFormat="1" outlineLevel="1" x14ac:dyDescent="0.25">
      <c r="A215" s="17"/>
      <c r="B215" s="211" t="s">
        <v>39</v>
      </c>
      <c r="C215" s="210" t="s">
        <v>9</v>
      </c>
      <c r="D215" s="224">
        <v>6.2</v>
      </c>
      <c r="E215" s="60">
        <v>6.2</v>
      </c>
      <c r="F215" s="50">
        <f t="shared" si="8"/>
        <v>0</v>
      </c>
    </row>
    <row r="216" spans="1:6" s="5" customFormat="1" outlineLevel="1" x14ac:dyDescent="0.25">
      <c r="A216" s="17"/>
      <c r="B216" s="211" t="s">
        <v>40</v>
      </c>
      <c r="C216" s="210" t="s">
        <v>9</v>
      </c>
      <c r="D216" s="224">
        <v>4.5999999999999996</v>
      </c>
      <c r="E216" s="60">
        <v>4.5999999999999996</v>
      </c>
      <c r="F216" s="50">
        <f t="shared" si="8"/>
        <v>0</v>
      </c>
    </row>
    <row r="217" spans="1:6" s="5" customFormat="1" outlineLevel="1" x14ac:dyDescent="0.25">
      <c r="A217" s="17"/>
      <c r="B217" s="211" t="s">
        <v>41</v>
      </c>
      <c r="C217" s="210" t="s">
        <v>9</v>
      </c>
      <c r="D217" s="224">
        <v>0.7</v>
      </c>
      <c r="E217" s="60">
        <v>0.7</v>
      </c>
      <c r="F217" s="50">
        <f t="shared" si="8"/>
        <v>0</v>
      </c>
    </row>
    <row r="218" spans="1:6" s="5" customFormat="1" outlineLevel="1" x14ac:dyDescent="0.25">
      <c r="A218" s="17"/>
      <c r="B218" s="211" t="s">
        <v>64</v>
      </c>
      <c r="C218" s="210" t="s">
        <v>9</v>
      </c>
      <c r="D218" s="224">
        <v>3.3</v>
      </c>
      <c r="E218" s="60">
        <v>3.3</v>
      </c>
      <c r="F218" s="50">
        <f t="shared" si="8"/>
        <v>0</v>
      </c>
    </row>
    <row r="219" spans="1:6" s="5" customFormat="1" outlineLevel="1" x14ac:dyDescent="0.25">
      <c r="A219" s="17"/>
      <c r="B219" s="211" t="s">
        <v>304</v>
      </c>
      <c r="C219" s="210" t="s">
        <v>4</v>
      </c>
      <c r="D219" s="224">
        <v>75.918999999999997</v>
      </c>
      <c r="E219" s="60">
        <v>75.900000000000006</v>
      </c>
      <c r="F219" s="50">
        <f t="shared" si="8"/>
        <v>-1.8999999999991246E-2</v>
      </c>
    </row>
    <row r="220" spans="1:6" s="5" customFormat="1" outlineLevel="1" x14ac:dyDescent="0.25">
      <c r="A220" s="17"/>
      <c r="B220" s="22" t="s">
        <v>319</v>
      </c>
      <c r="C220" s="17" t="s">
        <v>4</v>
      </c>
      <c r="D220" s="60">
        <f>D219*1.02</f>
        <v>77.437380000000005</v>
      </c>
      <c r="E220" s="60">
        <f>E219*1.015</f>
        <v>77.038499999999999</v>
      </c>
      <c r="F220" s="50">
        <f t="shared" si="8"/>
        <v>-0.39888000000000545</v>
      </c>
    </row>
    <row r="221" spans="1:6" s="5" customFormat="1" ht="25.5" x14ac:dyDescent="0.25">
      <c r="A221" s="19" t="s">
        <v>223</v>
      </c>
      <c r="B221" s="26" t="s">
        <v>209</v>
      </c>
      <c r="C221" s="19" t="s">
        <v>11</v>
      </c>
      <c r="D221" s="61">
        <v>337.3</v>
      </c>
      <c r="E221" s="61">
        <v>337.3</v>
      </c>
      <c r="F221" s="50">
        <f t="shared" si="8"/>
        <v>0</v>
      </c>
    </row>
    <row r="222" spans="1:6" s="5" customFormat="1" outlineLevel="1" x14ac:dyDescent="0.25">
      <c r="A222" s="17"/>
      <c r="B222" s="18" t="s">
        <v>42</v>
      </c>
      <c r="C222" s="17" t="s">
        <v>11</v>
      </c>
      <c r="D222" s="224">
        <v>337.3</v>
      </c>
      <c r="E222" s="60">
        <v>337.3</v>
      </c>
      <c r="F222" s="50">
        <f t="shared" si="8"/>
        <v>0</v>
      </c>
    </row>
    <row r="223" spans="1:6" s="5" customFormat="1" outlineLevel="1" x14ac:dyDescent="0.25">
      <c r="A223" s="17"/>
      <c r="B223" s="55" t="s">
        <v>325</v>
      </c>
      <c r="C223" s="54" t="s">
        <v>9</v>
      </c>
      <c r="D223" s="60"/>
      <c r="E223" s="62">
        <v>5.3999999999999999E-2</v>
      </c>
      <c r="F223" s="50">
        <f t="shared" si="8"/>
        <v>5.3999999999999999E-2</v>
      </c>
    </row>
    <row r="224" spans="1:6" s="5" customFormat="1" outlineLevel="1" x14ac:dyDescent="0.25">
      <c r="A224" s="17"/>
      <c r="B224" s="55" t="s">
        <v>317</v>
      </c>
      <c r="C224" s="54" t="s">
        <v>153</v>
      </c>
      <c r="D224" s="60"/>
      <c r="E224" s="60">
        <v>1484.12</v>
      </c>
      <c r="F224" s="50">
        <f t="shared" si="8"/>
        <v>1484.12</v>
      </c>
    </row>
    <row r="225" spans="1:6" s="5" customFormat="1" outlineLevel="1" x14ac:dyDescent="0.25">
      <c r="A225" s="17"/>
      <c r="B225" s="55" t="s">
        <v>314</v>
      </c>
      <c r="C225" s="54" t="s">
        <v>11</v>
      </c>
      <c r="D225" s="60"/>
      <c r="E225" s="60">
        <v>775.79</v>
      </c>
      <c r="F225" s="50">
        <f t="shared" si="8"/>
        <v>775.79</v>
      </c>
    </row>
    <row r="226" spans="1:6" s="5" customFormat="1" outlineLevel="1" x14ac:dyDescent="0.25">
      <c r="A226" s="17"/>
      <c r="B226" s="18" t="s">
        <v>43</v>
      </c>
      <c r="C226" s="17" t="s">
        <v>11</v>
      </c>
      <c r="D226" s="224">
        <v>337.3</v>
      </c>
      <c r="E226" s="60">
        <v>337.3</v>
      </c>
      <c r="F226" s="50">
        <f t="shared" si="8"/>
        <v>0</v>
      </c>
    </row>
    <row r="227" spans="1:6" s="5" customFormat="1" outlineLevel="1" x14ac:dyDescent="0.25">
      <c r="A227" s="17"/>
      <c r="B227" s="58" t="s">
        <v>329</v>
      </c>
      <c r="C227" s="57" t="s">
        <v>4</v>
      </c>
      <c r="D227" s="60"/>
      <c r="E227" s="60">
        <v>33.729999999999997</v>
      </c>
      <c r="F227" s="50">
        <f t="shared" si="8"/>
        <v>33.729999999999997</v>
      </c>
    </row>
    <row r="228" spans="1:6" s="5" customFormat="1" ht="25.5" outlineLevel="1" x14ac:dyDescent="0.25">
      <c r="A228" s="17"/>
      <c r="B228" s="25" t="s">
        <v>44</v>
      </c>
      <c r="C228" s="17" t="s">
        <v>11</v>
      </c>
      <c r="D228" s="212">
        <v>337.3</v>
      </c>
      <c r="E228" s="60">
        <v>337.3</v>
      </c>
      <c r="F228" s="50">
        <f t="shared" si="8"/>
        <v>0</v>
      </c>
    </row>
    <row r="229" spans="1:6" s="5" customFormat="1" outlineLevel="1" x14ac:dyDescent="0.25">
      <c r="A229" s="17"/>
      <c r="B229" s="58" t="s">
        <v>330</v>
      </c>
      <c r="C229" s="57" t="s">
        <v>4</v>
      </c>
      <c r="D229" s="60"/>
      <c r="E229" s="60">
        <v>7.76</v>
      </c>
      <c r="F229" s="50">
        <f t="shared" si="8"/>
        <v>7.76</v>
      </c>
    </row>
    <row r="230" spans="1:6" s="5" customFormat="1" outlineLevel="1" x14ac:dyDescent="0.25">
      <c r="A230" s="17"/>
      <c r="B230" s="58" t="s">
        <v>331</v>
      </c>
      <c r="C230" s="57" t="s">
        <v>332</v>
      </c>
      <c r="D230" s="60"/>
      <c r="E230" s="60">
        <v>16.864999999999998</v>
      </c>
      <c r="F230" s="50">
        <f t="shared" si="8"/>
        <v>16.864999999999998</v>
      </c>
    </row>
    <row r="231" spans="1:6" s="5" customFormat="1" ht="33" customHeight="1" x14ac:dyDescent="0.25">
      <c r="A231" s="19" t="s">
        <v>225</v>
      </c>
      <c r="B231" s="26" t="s">
        <v>226</v>
      </c>
      <c r="C231" s="19" t="s">
        <v>4</v>
      </c>
      <c r="D231" s="61">
        <f>D240+D247+D252</f>
        <v>138.69999999999999</v>
      </c>
      <c r="E231" s="61">
        <f>E240+E247+E252</f>
        <v>138.69999999999999</v>
      </c>
      <c r="F231" s="50">
        <f t="shared" si="8"/>
        <v>0</v>
      </c>
    </row>
    <row r="232" spans="1:6" s="5" customFormat="1" outlineLevel="1" x14ac:dyDescent="0.25">
      <c r="A232" s="17"/>
      <c r="B232" s="211" t="s">
        <v>45</v>
      </c>
      <c r="C232" s="210" t="s">
        <v>11</v>
      </c>
      <c r="D232" s="224">
        <v>953.54399999999998</v>
      </c>
      <c r="E232" s="60">
        <f>E233</f>
        <v>187.26</v>
      </c>
      <c r="F232" s="50">
        <f t="shared" si="8"/>
        <v>-766.28399999999999</v>
      </c>
    </row>
    <row r="233" spans="1:6" s="5" customFormat="1" outlineLevel="1" x14ac:dyDescent="0.25">
      <c r="A233" s="54"/>
      <c r="B233" s="55" t="s">
        <v>326</v>
      </c>
      <c r="C233" s="54" t="s">
        <v>11</v>
      </c>
      <c r="D233" s="44"/>
      <c r="E233" s="44">
        <f>73.58+46.04+67.64</f>
        <v>187.26</v>
      </c>
      <c r="F233" s="50">
        <f t="shared" ref="F233" si="9">E233-D233</f>
        <v>187.26</v>
      </c>
    </row>
    <row r="234" spans="1:6" s="5" customFormat="1" outlineLevel="1" x14ac:dyDescent="0.25">
      <c r="A234" s="17"/>
      <c r="B234" s="211" t="s">
        <v>46</v>
      </c>
      <c r="C234" s="210" t="s">
        <v>9</v>
      </c>
      <c r="D234" s="224">
        <v>13.2</v>
      </c>
      <c r="E234" s="60">
        <f>E235+E236+E237+E238+E239</f>
        <v>13.200000000000001</v>
      </c>
      <c r="F234" s="50">
        <f t="shared" si="8"/>
        <v>0</v>
      </c>
    </row>
    <row r="235" spans="1:6" s="5" customFormat="1" outlineLevel="1" x14ac:dyDescent="0.25">
      <c r="A235" s="17"/>
      <c r="B235" s="211" t="s">
        <v>40</v>
      </c>
      <c r="C235" s="210" t="s">
        <v>9</v>
      </c>
      <c r="D235" s="224">
        <v>0.9</v>
      </c>
      <c r="E235" s="60">
        <v>0.9</v>
      </c>
      <c r="F235" s="50">
        <f t="shared" si="8"/>
        <v>0</v>
      </c>
    </row>
    <row r="236" spans="1:6" s="5" customFormat="1" outlineLevel="1" x14ac:dyDescent="0.25">
      <c r="A236" s="17"/>
      <c r="B236" s="211" t="s">
        <v>41</v>
      </c>
      <c r="C236" s="210" t="s">
        <v>9</v>
      </c>
      <c r="D236" s="224">
        <v>3.6</v>
      </c>
      <c r="E236" s="60">
        <v>3.6</v>
      </c>
      <c r="F236" s="50">
        <f t="shared" si="8"/>
        <v>0</v>
      </c>
    </row>
    <row r="237" spans="1:6" s="5" customFormat="1" outlineLevel="1" x14ac:dyDescent="0.25">
      <c r="A237" s="17"/>
      <c r="B237" s="211" t="s">
        <v>64</v>
      </c>
      <c r="C237" s="210" t="s">
        <v>9</v>
      </c>
      <c r="D237" s="224">
        <v>7.9</v>
      </c>
      <c r="E237" s="60">
        <v>7.9</v>
      </c>
      <c r="F237" s="50">
        <f t="shared" si="8"/>
        <v>0</v>
      </c>
    </row>
    <row r="238" spans="1:6" s="5" customFormat="1" outlineLevel="1" x14ac:dyDescent="0.25">
      <c r="A238" s="17"/>
      <c r="B238" s="211" t="s">
        <v>65</v>
      </c>
      <c r="C238" s="210" t="s">
        <v>9</v>
      </c>
      <c r="D238" s="224">
        <v>0.4</v>
      </c>
      <c r="E238" s="60">
        <v>0.4</v>
      </c>
      <c r="F238" s="50">
        <f t="shared" si="8"/>
        <v>0</v>
      </c>
    </row>
    <row r="239" spans="1:6" s="5" customFormat="1" outlineLevel="1" x14ac:dyDescent="0.25">
      <c r="A239" s="17"/>
      <c r="B239" s="211" t="s">
        <v>66</v>
      </c>
      <c r="C239" s="210" t="s">
        <v>9</v>
      </c>
      <c r="D239" s="224">
        <v>0.4</v>
      </c>
      <c r="E239" s="60">
        <v>0.4</v>
      </c>
      <c r="F239" s="50">
        <f t="shared" si="8"/>
        <v>0</v>
      </c>
    </row>
    <row r="240" spans="1:6" s="5" customFormat="1" outlineLevel="1" x14ac:dyDescent="0.25">
      <c r="A240" s="17"/>
      <c r="B240" s="211" t="s">
        <v>67</v>
      </c>
      <c r="C240" s="210" t="s">
        <v>4</v>
      </c>
      <c r="D240" s="224">
        <v>54.5</v>
      </c>
      <c r="E240" s="60">
        <v>54.5</v>
      </c>
      <c r="F240" s="50">
        <f t="shared" si="8"/>
        <v>0</v>
      </c>
    </row>
    <row r="241" spans="1:6" s="5" customFormat="1" outlineLevel="1" x14ac:dyDescent="0.25">
      <c r="A241" s="17"/>
      <c r="B241" s="18" t="s">
        <v>333</v>
      </c>
      <c r="C241" s="17" t="s">
        <v>4</v>
      </c>
      <c r="D241" s="60">
        <f>D240*1.02</f>
        <v>55.59</v>
      </c>
      <c r="E241" s="60">
        <f>E240*1.015</f>
        <v>55.317499999999995</v>
      </c>
      <c r="F241" s="50">
        <f t="shared" si="8"/>
        <v>-0.27250000000000796</v>
      </c>
    </row>
    <row r="242" spans="1:6" s="5" customFormat="1" outlineLevel="1" x14ac:dyDescent="0.25">
      <c r="A242" s="17"/>
      <c r="B242" s="211" t="s">
        <v>68</v>
      </c>
      <c r="C242" s="210" t="s">
        <v>69</v>
      </c>
      <c r="D242" s="224">
        <v>11.05</v>
      </c>
      <c r="E242" s="60">
        <f>E243+E244+E245+E246</f>
        <v>11.049999999999999</v>
      </c>
      <c r="F242" s="50">
        <f t="shared" si="8"/>
        <v>0</v>
      </c>
    </row>
    <row r="243" spans="1:6" s="5" customFormat="1" outlineLevel="1" x14ac:dyDescent="0.25">
      <c r="A243" s="17"/>
      <c r="B243" s="211" t="s">
        <v>41</v>
      </c>
      <c r="C243" s="210" t="s">
        <v>9</v>
      </c>
      <c r="D243" s="224">
        <v>3.3</v>
      </c>
      <c r="E243" s="60">
        <v>3.3</v>
      </c>
      <c r="F243" s="50">
        <f t="shared" si="8"/>
        <v>0</v>
      </c>
    </row>
    <row r="244" spans="1:6" s="5" customFormat="1" outlineLevel="1" x14ac:dyDescent="0.25">
      <c r="A244" s="17"/>
      <c r="B244" s="211" t="s">
        <v>64</v>
      </c>
      <c r="C244" s="210" t="s">
        <v>9</v>
      </c>
      <c r="D244" s="224">
        <v>7.2</v>
      </c>
      <c r="E244" s="60">
        <v>7.2</v>
      </c>
      <c r="F244" s="50">
        <f t="shared" si="8"/>
        <v>0</v>
      </c>
    </row>
    <row r="245" spans="1:6" s="5" customFormat="1" outlineLevel="1" x14ac:dyDescent="0.25">
      <c r="A245" s="17"/>
      <c r="B245" s="211" t="s">
        <v>65</v>
      </c>
      <c r="C245" s="210" t="s">
        <v>9</v>
      </c>
      <c r="D245" s="224">
        <v>0.35</v>
      </c>
      <c r="E245" s="60">
        <v>0.35</v>
      </c>
      <c r="F245" s="50">
        <f t="shared" si="8"/>
        <v>0</v>
      </c>
    </row>
    <row r="246" spans="1:6" s="5" customFormat="1" outlineLevel="1" x14ac:dyDescent="0.25">
      <c r="A246" s="17"/>
      <c r="B246" s="211" t="s">
        <v>66</v>
      </c>
      <c r="C246" s="210" t="s">
        <v>9</v>
      </c>
      <c r="D246" s="224">
        <v>0.2</v>
      </c>
      <c r="E246" s="60">
        <v>0.2</v>
      </c>
      <c r="F246" s="50">
        <f t="shared" si="8"/>
        <v>0</v>
      </c>
    </row>
    <row r="247" spans="1:6" s="5" customFormat="1" outlineLevel="1" x14ac:dyDescent="0.25">
      <c r="A247" s="17"/>
      <c r="B247" s="211" t="s">
        <v>70</v>
      </c>
      <c r="C247" s="210" t="s">
        <v>4</v>
      </c>
      <c r="D247" s="224">
        <v>34.1</v>
      </c>
      <c r="E247" s="60">
        <v>34.1</v>
      </c>
      <c r="F247" s="50">
        <f t="shared" si="8"/>
        <v>0</v>
      </c>
    </row>
    <row r="248" spans="1:6" s="5" customFormat="1" outlineLevel="1" x14ac:dyDescent="0.25">
      <c r="A248" s="17"/>
      <c r="B248" s="18" t="s">
        <v>333</v>
      </c>
      <c r="C248" s="17" t="s">
        <v>4</v>
      </c>
      <c r="D248" s="60">
        <f>D247*1.02</f>
        <v>34.782000000000004</v>
      </c>
      <c r="E248" s="60">
        <f>E247*1.015</f>
        <v>34.611499999999999</v>
      </c>
      <c r="F248" s="50">
        <f t="shared" si="8"/>
        <v>-0.17050000000000409</v>
      </c>
    </row>
    <row r="249" spans="1:6" s="5" customFormat="1" outlineLevel="1" x14ac:dyDescent="0.25">
      <c r="A249" s="17"/>
      <c r="B249" s="211" t="s">
        <v>71</v>
      </c>
      <c r="C249" s="210" t="s">
        <v>9</v>
      </c>
      <c r="D249" s="224">
        <v>9.6999999999999993</v>
      </c>
      <c r="E249" s="60">
        <f>E250+E251</f>
        <v>9.6999999999999993</v>
      </c>
      <c r="F249" s="50">
        <f t="shared" si="8"/>
        <v>0</v>
      </c>
    </row>
    <row r="250" spans="1:6" s="5" customFormat="1" outlineLevel="1" x14ac:dyDescent="0.25">
      <c r="A250" s="17"/>
      <c r="B250" s="211" t="s">
        <v>64</v>
      </c>
      <c r="C250" s="210" t="s">
        <v>9</v>
      </c>
      <c r="D250" s="224">
        <v>9.1</v>
      </c>
      <c r="E250" s="60">
        <v>9.1</v>
      </c>
      <c r="F250" s="50">
        <f t="shared" si="8"/>
        <v>0</v>
      </c>
    </row>
    <row r="251" spans="1:6" s="5" customFormat="1" outlineLevel="1" x14ac:dyDescent="0.25">
      <c r="A251" s="17"/>
      <c r="B251" s="211" t="s">
        <v>65</v>
      </c>
      <c r="C251" s="210" t="s">
        <v>9</v>
      </c>
      <c r="D251" s="224">
        <v>0.6</v>
      </c>
      <c r="E251" s="60">
        <v>0.6</v>
      </c>
      <c r="F251" s="50">
        <f t="shared" si="8"/>
        <v>0</v>
      </c>
    </row>
    <row r="252" spans="1:6" s="5" customFormat="1" outlineLevel="1" x14ac:dyDescent="0.25">
      <c r="A252" s="17"/>
      <c r="B252" s="211" t="s">
        <v>72</v>
      </c>
      <c r="C252" s="210" t="s">
        <v>4</v>
      </c>
      <c r="D252" s="224">
        <v>50.1</v>
      </c>
      <c r="E252" s="60">
        <v>50.1</v>
      </c>
      <c r="F252" s="50">
        <f t="shared" si="8"/>
        <v>0</v>
      </c>
    </row>
    <row r="253" spans="1:6" s="5" customFormat="1" outlineLevel="1" x14ac:dyDescent="0.25">
      <c r="A253" s="17"/>
      <c r="B253" s="18" t="s">
        <v>333</v>
      </c>
      <c r="C253" s="17" t="s">
        <v>4</v>
      </c>
      <c r="D253" s="60">
        <f>D252*1.02</f>
        <v>51.102000000000004</v>
      </c>
      <c r="E253" s="60">
        <f>E252*1.015</f>
        <v>50.851499999999994</v>
      </c>
      <c r="F253" s="50">
        <f t="shared" si="8"/>
        <v>-0.25050000000000949</v>
      </c>
    </row>
    <row r="254" spans="1:6" s="5" customFormat="1" ht="24" customHeight="1" x14ac:dyDescent="0.25">
      <c r="A254" s="19" t="s">
        <v>227</v>
      </c>
      <c r="B254" s="20" t="s">
        <v>229</v>
      </c>
      <c r="C254" s="19" t="s">
        <v>4</v>
      </c>
      <c r="D254" s="61">
        <f>D264</f>
        <v>401.92500000000001</v>
      </c>
      <c r="E254" s="61">
        <f>E264</f>
        <v>401.92500000000001</v>
      </c>
      <c r="F254" s="50">
        <f t="shared" si="8"/>
        <v>0</v>
      </c>
    </row>
    <row r="255" spans="1:6" s="5" customFormat="1" outlineLevel="1" x14ac:dyDescent="0.25">
      <c r="A255" s="17"/>
      <c r="B255" s="211" t="s">
        <v>228</v>
      </c>
      <c r="C255" s="210" t="s">
        <v>11</v>
      </c>
      <c r="D255" s="224">
        <v>1596.9449999999999</v>
      </c>
      <c r="E255" s="60">
        <f>E256</f>
        <v>211.41</v>
      </c>
      <c r="F255" s="50">
        <f t="shared" si="8"/>
        <v>-1385.5349999999999</v>
      </c>
    </row>
    <row r="256" spans="1:6" s="5" customFormat="1" outlineLevel="1" x14ac:dyDescent="0.25">
      <c r="A256" s="54"/>
      <c r="B256" s="55" t="s">
        <v>326</v>
      </c>
      <c r="C256" s="54" t="s">
        <v>11</v>
      </c>
      <c r="D256" s="44"/>
      <c r="E256" s="44">
        <v>211.41</v>
      </c>
      <c r="F256" s="50">
        <f t="shared" ref="F256:F257" si="10">E256-D256</f>
        <v>211.41</v>
      </c>
    </row>
    <row r="257" spans="1:6" s="5" customFormat="1" outlineLevel="1" x14ac:dyDescent="0.25">
      <c r="A257" s="54"/>
      <c r="B257" s="55" t="s">
        <v>335</v>
      </c>
      <c r="C257" s="54" t="s">
        <v>135</v>
      </c>
      <c r="D257" s="44"/>
      <c r="E257" s="44">
        <v>9.24</v>
      </c>
      <c r="F257" s="50">
        <f t="shared" si="10"/>
        <v>9.24</v>
      </c>
    </row>
    <row r="258" spans="1:6" s="5" customFormat="1" outlineLevel="1" x14ac:dyDescent="0.25">
      <c r="A258" s="17"/>
      <c r="B258" s="211" t="s">
        <v>51</v>
      </c>
      <c r="C258" s="210" t="s">
        <v>9</v>
      </c>
      <c r="D258" s="212">
        <v>76</v>
      </c>
      <c r="E258" s="44">
        <f>E260+E261+E262+E263+E259</f>
        <v>76.963999999999999</v>
      </c>
      <c r="F258" s="50">
        <f t="shared" si="8"/>
        <v>0.96399999999999864</v>
      </c>
    </row>
    <row r="259" spans="1:6" s="5" customFormat="1" outlineLevel="1" x14ac:dyDescent="0.25">
      <c r="A259" s="57"/>
      <c r="B259" s="58" t="s">
        <v>337</v>
      </c>
      <c r="C259" s="57" t="s">
        <v>9</v>
      </c>
      <c r="D259" s="44"/>
      <c r="E259" s="44">
        <v>0.96399999999999997</v>
      </c>
      <c r="F259" s="50"/>
    </row>
    <row r="260" spans="1:6" s="5" customFormat="1" outlineLevel="1" x14ac:dyDescent="0.25">
      <c r="A260" s="17"/>
      <c r="B260" s="211" t="s">
        <v>52</v>
      </c>
      <c r="C260" s="210" t="s">
        <v>9</v>
      </c>
      <c r="D260" s="224">
        <v>41.8</v>
      </c>
      <c r="E260" s="60">
        <v>41.8</v>
      </c>
      <c r="F260" s="50">
        <f t="shared" si="8"/>
        <v>0</v>
      </c>
    </row>
    <row r="261" spans="1:6" s="5" customFormat="1" outlineLevel="1" x14ac:dyDescent="0.25">
      <c r="A261" s="17"/>
      <c r="B261" s="211" t="s">
        <v>53</v>
      </c>
      <c r="C261" s="210" t="s">
        <v>9</v>
      </c>
      <c r="D261" s="224">
        <v>12.1</v>
      </c>
      <c r="E261" s="60">
        <v>12.1</v>
      </c>
      <c r="F261" s="50">
        <f t="shared" si="8"/>
        <v>0</v>
      </c>
    </row>
    <row r="262" spans="1:6" s="5" customFormat="1" outlineLevel="1" x14ac:dyDescent="0.25">
      <c r="A262" s="17"/>
      <c r="B262" s="211" t="s">
        <v>41</v>
      </c>
      <c r="C262" s="210" t="s">
        <v>9</v>
      </c>
      <c r="D262" s="224">
        <v>18.100000000000001</v>
      </c>
      <c r="E262" s="60">
        <v>18.100000000000001</v>
      </c>
      <c r="F262" s="50">
        <f t="shared" si="8"/>
        <v>0</v>
      </c>
    </row>
    <row r="263" spans="1:6" s="5" customFormat="1" outlineLevel="1" x14ac:dyDescent="0.25">
      <c r="A263" s="17"/>
      <c r="B263" s="211" t="s">
        <v>38</v>
      </c>
      <c r="C263" s="210" t="s">
        <v>9</v>
      </c>
      <c r="D263" s="224">
        <v>4</v>
      </c>
      <c r="E263" s="60">
        <v>4</v>
      </c>
      <c r="F263" s="50">
        <f t="shared" si="8"/>
        <v>0</v>
      </c>
    </row>
    <row r="264" spans="1:6" s="5" customFormat="1" outlineLevel="1" x14ac:dyDescent="0.25">
      <c r="A264" s="17"/>
      <c r="B264" s="211" t="s">
        <v>54</v>
      </c>
      <c r="C264" s="210" t="s">
        <v>4</v>
      </c>
      <c r="D264" s="226">
        <v>401.92500000000001</v>
      </c>
      <c r="E264" s="62">
        <v>401.92500000000001</v>
      </c>
      <c r="F264" s="50">
        <f t="shared" si="8"/>
        <v>0</v>
      </c>
    </row>
    <row r="265" spans="1:6" s="5" customFormat="1" outlineLevel="1" x14ac:dyDescent="0.25">
      <c r="A265" s="17"/>
      <c r="B265" s="18" t="s">
        <v>333</v>
      </c>
      <c r="C265" s="17" t="s">
        <v>4</v>
      </c>
      <c r="D265" s="62">
        <f>D264*1.02</f>
        <v>409.96350000000001</v>
      </c>
      <c r="E265" s="62">
        <f>E264*1.015</f>
        <v>407.95387499999998</v>
      </c>
      <c r="F265" s="50">
        <f t="shared" si="8"/>
        <v>-2.0096250000000282</v>
      </c>
    </row>
    <row r="266" spans="1:6" s="5" customFormat="1" x14ac:dyDescent="0.25">
      <c r="A266" s="19" t="s">
        <v>233</v>
      </c>
      <c r="B266" s="20" t="s">
        <v>230</v>
      </c>
      <c r="C266" s="19" t="s">
        <v>4</v>
      </c>
      <c r="D266" s="61">
        <f>D274</f>
        <v>1.8414999999999999</v>
      </c>
      <c r="E266" s="61">
        <f>E274</f>
        <v>1.8</v>
      </c>
      <c r="F266" s="50">
        <f t="shared" si="8"/>
        <v>-4.149999999999987E-2</v>
      </c>
    </row>
    <row r="267" spans="1:6" s="5" customFormat="1" outlineLevel="1" x14ac:dyDescent="0.25">
      <c r="A267" s="17"/>
      <c r="B267" s="211" t="s">
        <v>55</v>
      </c>
      <c r="C267" s="210" t="s">
        <v>11</v>
      </c>
      <c r="D267" s="224">
        <v>10.1935</v>
      </c>
      <c r="E267" s="60">
        <v>2.59</v>
      </c>
      <c r="F267" s="50">
        <f t="shared" si="8"/>
        <v>-7.6035000000000004</v>
      </c>
    </row>
    <row r="268" spans="1:6" s="5" customFormat="1" outlineLevel="1" x14ac:dyDescent="0.25">
      <c r="A268" s="54"/>
      <c r="B268" s="55" t="s">
        <v>326</v>
      </c>
      <c r="C268" s="54" t="s">
        <v>11</v>
      </c>
      <c r="D268" s="44"/>
      <c r="E268" s="44">
        <v>2.59</v>
      </c>
      <c r="F268" s="50">
        <f t="shared" si="8"/>
        <v>2.59</v>
      </c>
    </row>
    <row r="269" spans="1:6" s="5" customFormat="1" outlineLevel="1" x14ac:dyDescent="0.25">
      <c r="A269" s="54"/>
      <c r="B269" s="55" t="s">
        <v>335</v>
      </c>
      <c r="C269" s="54" t="s">
        <v>135</v>
      </c>
      <c r="D269" s="44"/>
      <c r="E269" s="44">
        <v>0.11</v>
      </c>
      <c r="F269" s="50">
        <f t="shared" si="8"/>
        <v>0.11</v>
      </c>
    </row>
    <row r="270" spans="1:6" s="5" customFormat="1" outlineLevel="1" x14ac:dyDescent="0.25">
      <c r="A270" s="17"/>
      <c r="B270" s="211" t="s">
        <v>56</v>
      </c>
      <c r="C270" s="210" t="s">
        <v>9</v>
      </c>
      <c r="D270" s="224">
        <v>0.32100000000000001</v>
      </c>
      <c r="E270" s="60"/>
      <c r="F270" s="50">
        <f t="shared" si="8"/>
        <v>-0.32100000000000001</v>
      </c>
    </row>
    <row r="271" spans="1:6" s="5" customFormat="1" outlineLevel="1" x14ac:dyDescent="0.25">
      <c r="A271" s="57"/>
      <c r="B271" s="58" t="s">
        <v>337</v>
      </c>
      <c r="C271" s="57" t="s">
        <v>9</v>
      </c>
      <c r="D271" s="44"/>
      <c r="E271" s="46">
        <v>1.0999999999999999E-2</v>
      </c>
      <c r="F271" s="50"/>
    </row>
    <row r="272" spans="1:6" s="5" customFormat="1" outlineLevel="1" x14ac:dyDescent="0.25">
      <c r="A272" s="17"/>
      <c r="B272" s="211" t="s">
        <v>39</v>
      </c>
      <c r="C272" s="210" t="s">
        <v>9</v>
      </c>
      <c r="D272" s="224">
        <v>0.3</v>
      </c>
      <c r="E272" s="60">
        <v>0.3</v>
      </c>
      <c r="F272" s="50">
        <f t="shared" si="8"/>
        <v>0</v>
      </c>
    </row>
    <row r="273" spans="1:6" s="5" customFormat="1" outlineLevel="1" x14ac:dyDescent="0.25">
      <c r="A273" s="17"/>
      <c r="B273" s="211" t="s">
        <v>38</v>
      </c>
      <c r="C273" s="210" t="s">
        <v>9</v>
      </c>
      <c r="D273" s="224">
        <v>2.1000000000000001E-2</v>
      </c>
      <c r="E273" s="60">
        <v>0.02</v>
      </c>
      <c r="F273" s="50">
        <f t="shared" si="8"/>
        <v>-1.0000000000000009E-3</v>
      </c>
    </row>
    <row r="274" spans="1:6" s="5" customFormat="1" outlineLevel="1" x14ac:dyDescent="0.25">
      <c r="A274" s="17"/>
      <c r="B274" s="211" t="s">
        <v>57</v>
      </c>
      <c r="C274" s="210" t="s">
        <v>4</v>
      </c>
      <c r="D274" s="224">
        <v>1.8414999999999999</v>
      </c>
      <c r="E274" s="60">
        <v>1.8</v>
      </c>
      <c r="F274" s="50">
        <f t="shared" si="8"/>
        <v>-4.149999999999987E-2</v>
      </c>
    </row>
    <row r="275" spans="1:6" s="5" customFormat="1" outlineLevel="1" x14ac:dyDescent="0.25">
      <c r="A275" s="17"/>
      <c r="B275" s="18" t="s">
        <v>333</v>
      </c>
      <c r="C275" s="17" t="s">
        <v>4</v>
      </c>
      <c r="D275" s="60">
        <f>D274*1.02</f>
        <v>1.8783300000000001</v>
      </c>
      <c r="E275" s="60">
        <f>E274*1.015</f>
        <v>1.827</v>
      </c>
      <c r="F275" s="50">
        <f t="shared" si="8"/>
        <v>-5.1330000000000098E-2</v>
      </c>
    </row>
    <row r="276" spans="1:6" s="5" customFormat="1" x14ac:dyDescent="0.25">
      <c r="A276" s="19" t="s">
        <v>234</v>
      </c>
      <c r="B276" s="20" t="s">
        <v>231</v>
      </c>
      <c r="C276" s="19" t="s">
        <v>4</v>
      </c>
      <c r="D276" s="61">
        <f>D282</f>
        <v>84.2</v>
      </c>
      <c r="E276" s="61">
        <f>E282</f>
        <v>84.2</v>
      </c>
      <c r="F276" s="50">
        <f t="shared" si="8"/>
        <v>0</v>
      </c>
    </row>
    <row r="277" spans="1:6" s="5" customFormat="1" outlineLevel="1" x14ac:dyDescent="0.25">
      <c r="A277" s="17"/>
      <c r="B277" s="211" t="s">
        <v>58</v>
      </c>
      <c r="C277" s="210" t="s">
        <v>11</v>
      </c>
      <c r="D277" s="224">
        <v>336.81</v>
      </c>
      <c r="E277" s="60">
        <f>E278</f>
        <v>3.03</v>
      </c>
      <c r="F277" s="50">
        <f t="shared" si="8"/>
        <v>-333.78000000000003</v>
      </c>
    </row>
    <row r="278" spans="1:6" s="5" customFormat="1" outlineLevel="1" x14ac:dyDescent="0.25">
      <c r="A278" s="54"/>
      <c r="B278" s="55" t="s">
        <v>326</v>
      </c>
      <c r="C278" s="54" t="s">
        <v>11</v>
      </c>
      <c r="D278" s="44"/>
      <c r="E278" s="44">
        <v>3.03</v>
      </c>
      <c r="F278" s="50">
        <f t="shared" ref="F278" si="11">E278-D278</f>
        <v>3.03</v>
      </c>
    </row>
    <row r="279" spans="1:6" s="5" customFormat="1" outlineLevel="1" x14ac:dyDescent="0.25">
      <c r="A279" s="17"/>
      <c r="B279" s="211" t="s">
        <v>73</v>
      </c>
      <c r="C279" s="210" t="s">
        <v>9</v>
      </c>
      <c r="D279" s="224">
        <v>14.445</v>
      </c>
      <c r="E279" s="60">
        <f>E280+E281</f>
        <v>14.4</v>
      </c>
      <c r="F279" s="50">
        <f t="shared" si="8"/>
        <v>-4.4999999999999929E-2</v>
      </c>
    </row>
    <row r="280" spans="1:6" s="5" customFormat="1" outlineLevel="1" x14ac:dyDescent="0.25">
      <c r="A280" s="17"/>
      <c r="B280" s="211" t="s">
        <v>52</v>
      </c>
      <c r="C280" s="210" t="s">
        <v>9</v>
      </c>
      <c r="D280" s="224">
        <v>13.5</v>
      </c>
      <c r="E280" s="60">
        <v>13.5</v>
      </c>
      <c r="F280" s="50">
        <f t="shared" si="8"/>
        <v>0</v>
      </c>
    </row>
    <row r="281" spans="1:6" s="5" customFormat="1" outlineLevel="1" x14ac:dyDescent="0.25">
      <c r="A281" s="17"/>
      <c r="B281" s="211" t="s">
        <v>38</v>
      </c>
      <c r="C281" s="210" t="s">
        <v>9</v>
      </c>
      <c r="D281" s="224">
        <v>0.94499999999999995</v>
      </c>
      <c r="E281" s="60">
        <v>0.9</v>
      </c>
      <c r="F281" s="50">
        <f t="shared" si="8"/>
        <v>-4.4999999999999929E-2</v>
      </c>
    </row>
    <row r="282" spans="1:6" s="5" customFormat="1" outlineLevel="1" x14ac:dyDescent="0.25">
      <c r="A282" s="17"/>
      <c r="B282" s="211" t="s">
        <v>60</v>
      </c>
      <c r="C282" s="210" t="s">
        <v>4</v>
      </c>
      <c r="D282" s="224">
        <v>84.2</v>
      </c>
      <c r="E282" s="60">
        <v>84.2</v>
      </c>
      <c r="F282" s="50">
        <f t="shared" si="8"/>
        <v>0</v>
      </c>
    </row>
    <row r="283" spans="1:6" s="5" customFormat="1" outlineLevel="1" x14ac:dyDescent="0.25">
      <c r="A283" s="17"/>
      <c r="B283" s="18" t="s">
        <v>333</v>
      </c>
      <c r="C283" s="17" t="s">
        <v>4</v>
      </c>
      <c r="D283" s="60">
        <f>D282*1.02</f>
        <v>85.884</v>
      </c>
      <c r="E283" s="60">
        <f>E282*1.015</f>
        <v>85.462999999999994</v>
      </c>
      <c r="F283" s="50">
        <f t="shared" si="8"/>
        <v>-0.42100000000000648</v>
      </c>
    </row>
    <row r="284" spans="1:6" s="5" customFormat="1" x14ac:dyDescent="0.25">
      <c r="A284" s="19" t="s">
        <v>235</v>
      </c>
      <c r="B284" s="20" t="s">
        <v>232</v>
      </c>
      <c r="C284" s="19" t="s">
        <v>4</v>
      </c>
      <c r="D284" s="61">
        <f>D290</f>
        <v>43.642000000000003</v>
      </c>
      <c r="E284" s="61">
        <f>E290</f>
        <v>43.6</v>
      </c>
      <c r="F284" s="50">
        <f t="shared" si="8"/>
        <v>-4.2000000000001592E-2</v>
      </c>
    </row>
    <row r="285" spans="1:6" s="5" customFormat="1" outlineLevel="1" x14ac:dyDescent="0.25">
      <c r="A285" s="17"/>
      <c r="B285" s="211" t="s">
        <v>61</v>
      </c>
      <c r="C285" s="210" t="s">
        <v>11</v>
      </c>
      <c r="D285" s="224">
        <v>220.66</v>
      </c>
      <c r="E285" s="60">
        <f>E286</f>
        <v>64.09</v>
      </c>
      <c r="F285" s="50">
        <f t="shared" si="8"/>
        <v>-156.57</v>
      </c>
    </row>
    <row r="286" spans="1:6" s="5" customFormat="1" outlineLevel="1" x14ac:dyDescent="0.25">
      <c r="A286" s="54"/>
      <c r="B286" s="55" t="s">
        <v>326</v>
      </c>
      <c r="C286" s="54" t="s">
        <v>11</v>
      </c>
      <c r="D286" s="44"/>
      <c r="E286" s="44">
        <v>64.09</v>
      </c>
      <c r="F286" s="50">
        <f t="shared" si="8"/>
        <v>64.09</v>
      </c>
    </row>
    <row r="287" spans="1:6" s="5" customFormat="1" outlineLevel="1" x14ac:dyDescent="0.25">
      <c r="A287" s="17"/>
      <c r="B287" s="211" t="s">
        <v>74</v>
      </c>
      <c r="C287" s="210" t="s">
        <v>9</v>
      </c>
      <c r="D287" s="224">
        <v>7.6</v>
      </c>
      <c r="E287" s="60">
        <f>E288+E289</f>
        <v>7.6</v>
      </c>
      <c r="F287" s="50">
        <f t="shared" si="8"/>
        <v>0</v>
      </c>
    </row>
    <row r="288" spans="1:6" s="5" customFormat="1" outlineLevel="1" x14ac:dyDescent="0.25">
      <c r="A288" s="17"/>
      <c r="B288" s="211" t="s">
        <v>38</v>
      </c>
      <c r="C288" s="210" t="s">
        <v>9</v>
      </c>
      <c r="D288" s="224">
        <v>0.5</v>
      </c>
      <c r="E288" s="60">
        <v>0.5</v>
      </c>
      <c r="F288" s="50">
        <f t="shared" ref="F288:F359" si="12">E288-D288</f>
        <v>0</v>
      </c>
    </row>
    <row r="289" spans="1:6" s="5" customFormat="1" outlineLevel="1" x14ac:dyDescent="0.25">
      <c r="A289" s="17"/>
      <c r="B289" s="211" t="s">
        <v>52</v>
      </c>
      <c r="C289" s="210" t="s">
        <v>9</v>
      </c>
      <c r="D289" s="224">
        <v>7.1</v>
      </c>
      <c r="E289" s="60">
        <v>7.1</v>
      </c>
      <c r="F289" s="50">
        <f t="shared" si="12"/>
        <v>0</v>
      </c>
    </row>
    <row r="290" spans="1:6" s="5" customFormat="1" outlineLevel="1" x14ac:dyDescent="0.25">
      <c r="A290" s="17"/>
      <c r="B290" s="211" t="s">
        <v>75</v>
      </c>
      <c r="C290" s="210" t="s">
        <v>4</v>
      </c>
      <c r="D290" s="224">
        <v>43.642000000000003</v>
      </c>
      <c r="E290" s="60">
        <v>43.6</v>
      </c>
      <c r="F290" s="50">
        <f t="shared" si="12"/>
        <v>-4.2000000000001592E-2</v>
      </c>
    </row>
    <row r="291" spans="1:6" s="5" customFormat="1" outlineLevel="1" x14ac:dyDescent="0.25">
      <c r="A291" s="17"/>
      <c r="B291" s="18" t="s">
        <v>202</v>
      </c>
      <c r="C291" s="17" t="s">
        <v>4</v>
      </c>
      <c r="D291" s="60">
        <f>D290*1.02</f>
        <v>44.514840000000007</v>
      </c>
      <c r="E291" s="60">
        <f>E290*1.015</f>
        <v>44.253999999999998</v>
      </c>
      <c r="F291" s="50">
        <f t="shared" si="12"/>
        <v>-0.26084000000000884</v>
      </c>
    </row>
    <row r="292" spans="1:6" s="4" customFormat="1" ht="15.75" collapsed="1" x14ac:dyDescent="0.25">
      <c r="A292" s="206" t="s">
        <v>236</v>
      </c>
      <c r="B292" s="207"/>
      <c r="C292" s="39"/>
      <c r="D292" s="43"/>
      <c r="E292" s="43"/>
      <c r="F292" s="50">
        <f t="shared" si="12"/>
        <v>0</v>
      </c>
    </row>
    <row r="293" spans="1:6" s="4" customFormat="1" ht="15.75" x14ac:dyDescent="0.25">
      <c r="A293" s="16" t="s">
        <v>237</v>
      </c>
      <c r="B293" s="21" t="s">
        <v>269</v>
      </c>
      <c r="C293" s="16" t="s">
        <v>9</v>
      </c>
      <c r="D293" s="43">
        <f>D294</f>
        <v>27.799999999999997</v>
      </c>
      <c r="E293" s="43">
        <f>E294</f>
        <v>27.799999999999997</v>
      </c>
      <c r="F293" s="50">
        <f t="shared" si="12"/>
        <v>0</v>
      </c>
    </row>
    <row r="294" spans="1:6" s="5" customFormat="1" outlineLevel="1" x14ac:dyDescent="0.25">
      <c r="A294" s="210">
        <v>147</v>
      </c>
      <c r="B294" s="211" t="s">
        <v>76</v>
      </c>
      <c r="C294" s="220" t="s">
        <v>9</v>
      </c>
      <c r="D294" s="221">
        <f>D295+D296+D297+D298+D299</f>
        <v>27.799999999999997</v>
      </c>
      <c r="E294" s="45">
        <f>E295+E296+E297+E298+E299</f>
        <v>27.799999999999997</v>
      </c>
      <c r="F294" s="50">
        <f t="shared" si="12"/>
        <v>0</v>
      </c>
    </row>
    <row r="295" spans="1:6" s="5" customFormat="1" outlineLevel="1" x14ac:dyDescent="0.25">
      <c r="A295" s="17">
        <v>148</v>
      </c>
      <c r="B295" s="211" t="s">
        <v>77</v>
      </c>
      <c r="C295" s="210" t="s">
        <v>9</v>
      </c>
      <c r="D295" s="212">
        <v>2.1</v>
      </c>
      <c r="E295" s="44">
        <v>2.1</v>
      </c>
      <c r="F295" s="50">
        <f t="shared" si="12"/>
        <v>0</v>
      </c>
    </row>
    <row r="296" spans="1:6" s="5" customFormat="1" outlineLevel="1" x14ac:dyDescent="0.25">
      <c r="A296" s="17">
        <v>149</v>
      </c>
      <c r="B296" s="211" t="s">
        <v>78</v>
      </c>
      <c r="C296" s="210" t="s">
        <v>9</v>
      </c>
      <c r="D296" s="212">
        <v>3.8</v>
      </c>
      <c r="E296" s="44">
        <v>3.8</v>
      </c>
      <c r="F296" s="50">
        <f t="shared" si="12"/>
        <v>0</v>
      </c>
    </row>
    <row r="297" spans="1:6" s="5" customFormat="1" outlineLevel="1" x14ac:dyDescent="0.25">
      <c r="A297" s="17">
        <v>150</v>
      </c>
      <c r="B297" s="211" t="s">
        <v>79</v>
      </c>
      <c r="C297" s="210" t="s">
        <v>9</v>
      </c>
      <c r="D297" s="212">
        <v>3.8</v>
      </c>
      <c r="E297" s="44">
        <v>3.8</v>
      </c>
      <c r="F297" s="50">
        <f t="shared" si="12"/>
        <v>0</v>
      </c>
    </row>
    <row r="298" spans="1:6" s="5" customFormat="1" outlineLevel="1" x14ac:dyDescent="0.25">
      <c r="A298" s="17">
        <v>151</v>
      </c>
      <c r="B298" s="211" t="s">
        <v>80</v>
      </c>
      <c r="C298" s="210" t="s">
        <v>9</v>
      </c>
      <c r="D298" s="212">
        <v>5.4</v>
      </c>
      <c r="E298" s="44">
        <v>5.4</v>
      </c>
      <c r="F298" s="50">
        <f t="shared" si="12"/>
        <v>0</v>
      </c>
    </row>
    <row r="299" spans="1:6" s="5" customFormat="1" outlineLevel="1" x14ac:dyDescent="0.25">
      <c r="A299" s="17">
        <v>152</v>
      </c>
      <c r="B299" s="211" t="s">
        <v>81</v>
      </c>
      <c r="C299" s="210" t="s">
        <v>9</v>
      </c>
      <c r="D299" s="212">
        <v>12.7</v>
      </c>
      <c r="E299" s="44">
        <v>12.7</v>
      </c>
      <c r="F299" s="50">
        <f t="shared" si="12"/>
        <v>0</v>
      </c>
    </row>
    <row r="300" spans="1:6" s="5" customFormat="1" x14ac:dyDescent="0.25">
      <c r="A300" s="19" t="s">
        <v>238</v>
      </c>
      <c r="B300" s="20" t="s">
        <v>244</v>
      </c>
      <c r="C300" s="19" t="s">
        <v>9</v>
      </c>
      <c r="D300" s="45">
        <f>D301</f>
        <v>6.5</v>
      </c>
      <c r="E300" s="45">
        <f>E301</f>
        <v>6.5</v>
      </c>
      <c r="F300" s="50">
        <f t="shared" si="12"/>
        <v>0</v>
      </c>
    </row>
    <row r="301" spans="1:6" s="5" customFormat="1" outlineLevel="1" x14ac:dyDescent="0.25">
      <c r="A301" s="17">
        <v>153</v>
      </c>
      <c r="B301" s="211" t="s">
        <v>82</v>
      </c>
      <c r="C301" s="210" t="s">
        <v>9</v>
      </c>
      <c r="D301" s="212">
        <v>6.5</v>
      </c>
      <c r="E301" s="44">
        <v>6.5</v>
      </c>
      <c r="F301" s="50">
        <f t="shared" si="12"/>
        <v>0</v>
      </c>
    </row>
    <row r="302" spans="1:6" s="5" customFormat="1" x14ac:dyDescent="0.25">
      <c r="A302" s="19" t="s">
        <v>239</v>
      </c>
      <c r="B302" s="20" t="s">
        <v>243</v>
      </c>
      <c r="C302" s="19" t="s">
        <v>9</v>
      </c>
      <c r="D302" s="45">
        <f>D303</f>
        <v>20.100000000000001</v>
      </c>
      <c r="E302" s="45">
        <f>E303</f>
        <v>20.100000000000001</v>
      </c>
      <c r="F302" s="50">
        <f t="shared" si="12"/>
        <v>0</v>
      </c>
    </row>
    <row r="303" spans="1:6" s="5" customFormat="1" outlineLevel="1" x14ac:dyDescent="0.25">
      <c r="A303" s="17">
        <v>154</v>
      </c>
      <c r="B303" s="211" t="s">
        <v>83</v>
      </c>
      <c r="C303" s="210" t="s">
        <v>9</v>
      </c>
      <c r="D303" s="212">
        <v>20.100000000000001</v>
      </c>
      <c r="E303" s="44">
        <f>E304+E305+E306+E307+E308</f>
        <v>20.100000000000001</v>
      </c>
      <c r="F303" s="50">
        <f t="shared" si="12"/>
        <v>0</v>
      </c>
    </row>
    <row r="304" spans="1:6" s="5" customFormat="1" outlineLevel="1" x14ac:dyDescent="0.25">
      <c r="A304" s="17">
        <v>155</v>
      </c>
      <c r="B304" s="211" t="s">
        <v>84</v>
      </c>
      <c r="C304" s="210" t="s">
        <v>9</v>
      </c>
      <c r="D304" s="212">
        <v>5</v>
      </c>
      <c r="E304" s="44">
        <v>5</v>
      </c>
      <c r="F304" s="50">
        <f t="shared" si="12"/>
        <v>0</v>
      </c>
    </row>
    <row r="305" spans="1:6" s="5" customFormat="1" outlineLevel="1" x14ac:dyDescent="0.25">
      <c r="A305" s="17">
        <v>156</v>
      </c>
      <c r="B305" s="211" t="s">
        <v>85</v>
      </c>
      <c r="C305" s="210" t="s">
        <v>9</v>
      </c>
      <c r="D305" s="212">
        <v>9</v>
      </c>
      <c r="E305" s="44">
        <v>9</v>
      </c>
      <c r="F305" s="50">
        <f t="shared" si="12"/>
        <v>0</v>
      </c>
    </row>
    <row r="306" spans="1:6" s="5" customFormat="1" outlineLevel="1" x14ac:dyDescent="0.25">
      <c r="A306" s="17">
        <v>157</v>
      </c>
      <c r="B306" s="211" t="s">
        <v>86</v>
      </c>
      <c r="C306" s="210" t="s">
        <v>9</v>
      </c>
      <c r="D306" s="212">
        <v>5</v>
      </c>
      <c r="E306" s="44">
        <v>5</v>
      </c>
      <c r="F306" s="50">
        <f t="shared" si="12"/>
        <v>0</v>
      </c>
    </row>
    <row r="307" spans="1:6" s="5" customFormat="1" outlineLevel="1" x14ac:dyDescent="0.25">
      <c r="A307" s="17">
        <v>158</v>
      </c>
      <c r="B307" s="211" t="s">
        <v>87</v>
      </c>
      <c r="C307" s="210" t="s">
        <v>9</v>
      </c>
      <c r="D307" s="212">
        <v>0.5</v>
      </c>
      <c r="E307" s="44">
        <v>0.5</v>
      </c>
      <c r="F307" s="50">
        <f t="shared" si="12"/>
        <v>0</v>
      </c>
    </row>
    <row r="308" spans="1:6" s="5" customFormat="1" outlineLevel="1" x14ac:dyDescent="0.25">
      <c r="A308" s="17">
        <v>159</v>
      </c>
      <c r="B308" s="211" t="s">
        <v>88</v>
      </c>
      <c r="C308" s="210" t="s">
        <v>9</v>
      </c>
      <c r="D308" s="212">
        <v>0.6</v>
      </c>
      <c r="E308" s="44">
        <v>0.6</v>
      </c>
      <c r="F308" s="50">
        <f t="shared" si="12"/>
        <v>0</v>
      </c>
    </row>
    <row r="309" spans="1:6" s="5" customFormat="1" x14ac:dyDescent="0.25">
      <c r="A309" s="19" t="s">
        <v>240</v>
      </c>
      <c r="B309" s="20" t="s">
        <v>241</v>
      </c>
      <c r="C309" s="19" t="s">
        <v>9</v>
      </c>
      <c r="D309" s="45">
        <f>D310+D311</f>
        <v>21.9</v>
      </c>
      <c r="E309" s="45">
        <f>E310+E311</f>
        <v>21.9</v>
      </c>
      <c r="F309" s="50">
        <f t="shared" si="12"/>
        <v>0</v>
      </c>
    </row>
    <row r="310" spans="1:6" s="5" customFormat="1" outlineLevel="1" x14ac:dyDescent="0.25">
      <c r="A310" s="17">
        <v>160</v>
      </c>
      <c r="B310" s="211" t="s">
        <v>89</v>
      </c>
      <c r="C310" s="210" t="s">
        <v>9</v>
      </c>
      <c r="D310" s="212">
        <v>17.899999999999999</v>
      </c>
      <c r="E310" s="44">
        <v>17.899999999999999</v>
      </c>
      <c r="F310" s="50">
        <f t="shared" si="12"/>
        <v>0</v>
      </c>
    </row>
    <row r="311" spans="1:6" s="5" customFormat="1" outlineLevel="1" x14ac:dyDescent="0.25">
      <c r="A311" s="17">
        <v>161</v>
      </c>
      <c r="B311" s="211" t="s">
        <v>90</v>
      </c>
      <c r="C311" s="210" t="s">
        <v>9</v>
      </c>
      <c r="D311" s="212">
        <v>4</v>
      </c>
      <c r="E311" s="44">
        <v>4</v>
      </c>
      <c r="F311" s="50">
        <f t="shared" si="12"/>
        <v>0</v>
      </c>
    </row>
    <row r="312" spans="1:6" s="5" customFormat="1" x14ac:dyDescent="0.25">
      <c r="A312" s="19" t="s">
        <v>242</v>
      </c>
      <c r="B312" s="20" t="s">
        <v>273</v>
      </c>
      <c r="C312" s="19" t="s">
        <v>9</v>
      </c>
      <c r="D312" s="45">
        <f>D313</f>
        <v>14.15</v>
      </c>
      <c r="E312" s="45">
        <f>E313</f>
        <v>14.15</v>
      </c>
      <c r="F312" s="50">
        <f t="shared" si="12"/>
        <v>0</v>
      </c>
    </row>
    <row r="313" spans="1:6" s="5" customFormat="1" outlineLevel="1" x14ac:dyDescent="0.25">
      <c r="A313" s="17">
        <v>162</v>
      </c>
      <c r="B313" s="211" t="s">
        <v>91</v>
      </c>
      <c r="C313" s="210" t="s">
        <v>9</v>
      </c>
      <c r="D313" s="212">
        <v>14.15</v>
      </c>
      <c r="E313" s="44">
        <f>E314+E315+E316+E317+E318+E319+E320+E321+E322+E323</f>
        <v>14.15</v>
      </c>
      <c r="F313" s="50">
        <f t="shared" si="12"/>
        <v>0</v>
      </c>
    </row>
    <row r="314" spans="1:6" s="48" customFormat="1" outlineLevel="1" x14ac:dyDescent="0.25">
      <c r="A314" s="23">
        <v>163</v>
      </c>
      <c r="B314" s="214" t="s">
        <v>92</v>
      </c>
      <c r="C314" s="215" t="s">
        <v>9</v>
      </c>
      <c r="D314" s="218">
        <v>2.2999999999999998</v>
      </c>
      <c r="E314" s="47">
        <v>2.2999999999999998</v>
      </c>
      <c r="F314" s="51">
        <f t="shared" si="12"/>
        <v>0</v>
      </c>
    </row>
    <row r="315" spans="1:6" s="48" customFormat="1" outlineLevel="1" x14ac:dyDescent="0.25">
      <c r="A315" s="23">
        <v>164</v>
      </c>
      <c r="B315" s="214" t="s">
        <v>93</v>
      </c>
      <c r="C315" s="215" t="s">
        <v>9</v>
      </c>
      <c r="D315" s="218">
        <v>1.6</v>
      </c>
      <c r="E315" s="47">
        <v>1.6</v>
      </c>
      <c r="F315" s="51">
        <f t="shared" si="12"/>
        <v>0</v>
      </c>
    </row>
    <row r="316" spans="1:6" s="48" customFormat="1" outlineLevel="1" x14ac:dyDescent="0.25">
      <c r="A316" s="23">
        <v>165</v>
      </c>
      <c r="B316" s="214" t="s">
        <v>94</v>
      </c>
      <c r="C316" s="215" t="s">
        <v>9</v>
      </c>
      <c r="D316" s="218">
        <v>0.6</v>
      </c>
      <c r="E316" s="47">
        <v>0.6</v>
      </c>
      <c r="F316" s="51">
        <f t="shared" si="12"/>
        <v>0</v>
      </c>
    </row>
    <row r="317" spans="1:6" s="48" customFormat="1" outlineLevel="1" x14ac:dyDescent="0.25">
      <c r="A317" s="23">
        <v>166</v>
      </c>
      <c r="B317" s="214" t="s">
        <v>95</v>
      </c>
      <c r="C317" s="215" t="s">
        <v>9</v>
      </c>
      <c r="D317" s="218">
        <v>2.1</v>
      </c>
      <c r="E317" s="47">
        <v>2.1</v>
      </c>
      <c r="F317" s="51">
        <f t="shared" si="12"/>
        <v>0</v>
      </c>
    </row>
    <row r="318" spans="1:6" s="48" customFormat="1" outlineLevel="1" x14ac:dyDescent="0.25">
      <c r="A318" s="23">
        <v>167</v>
      </c>
      <c r="B318" s="214" t="s">
        <v>96</v>
      </c>
      <c r="C318" s="215" t="s">
        <v>9</v>
      </c>
      <c r="D318" s="218">
        <v>0.6</v>
      </c>
      <c r="E318" s="47">
        <v>0.6</v>
      </c>
      <c r="F318" s="51">
        <f t="shared" si="12"/>
        <v>0</v>
      </c>
    </row>
    <row r="319" spans="1:6" s="48" customFormat="1" outlineLevel="1" x14ac:dyDescent="0.25">
      <c r="A319" s="23">
        <v>168</v>
      </c>
      <c r="B319" s="214" t="s">
        <v>97</v>
      </c>
      <c r="C319" s="215" t="s">
        <v>9</v>
      </c>
      <c r="D319" s="218">
        <v>0.2</v>
      </c>
      <c r="E319" s="47">
        <v>0.2</v>
      </c>
      <c r="F319" s="51">
        <f t="shared" si="12"/>
        <v>0</v>
      </c>
    </row>
    <row r="320" spans="1:6" s="48" customFormat="1" outlineLevel="1" x14ac:dyDescent="0.25">
      <c r="A320" s="23">
        <v>169</v>
      </c>
      <c r="B320" s="214" t="s">
        <v>98</v>
      </c>
      <c r="C320" s="215" t="s">
        <v>9</v>
      </c>
      <c r="D320" s="218">
        <v>3.6</v>
      </c>
      <c r="E320" s="47">
        <v>3.6</v>
      </c>
      <c r="F320" s="51">
        <f t="shared" si="12"/>
        <v>0</v>
      </c>
    </row>
    <row r="321" spans="1:6" s="48" customFormat="1" outlineLevel="1" x14ac:dyDescent="0.25">
      <c r="A321" s="23">
        <v>170</v>
      </c>
      <c r="B321" s="214" t="s">
        <v>99</v>
      </c>
      <c r="C321" s="215" t="s">
        <v>9</v>
      </c>
      <c r="D321" s="218">
        <v>2.1</v>
      </c>
      <c r="E321" s="47">
        <v>2.1</v>
      </c>
      <c r="F321" s="51">
        <f t="shared" si="12"/>
        <v>0</v>
      </c>
    </row>
    <row r="322" spans="1:6" s="48" customFormat="1" outlineLevel="1" x14ac:dyDescent="0.25">
      <c r="A322" s="23">
        <v>171</v>
      </c>
      <c r="B322" s="214" t="s">
        <v>100</v>
      </c>
      <c r="C322" s="215" t="s">
        <v>9</v>
      </c>
      <c r="D322" s="218">
        <v>0.9</v>
      </c>
      <c r="E322" s="47">
        <v>0.9</v>
      </c>
      <c r="F322" s="51">
        <f t="shared" si="12"/>
        <v>0</v>
      </c>
    </row>
    <row r="323" spans="1:6" s="48" customFormat="1" outlineLevel="1" x14ac:dyDescent="0.25">
      <c r="A323" s="23">
        <v>172</v>
      </c>
      <c r="B323" s="214" t="s">
        <v>101</v>
      </c>
      <c r="C323" s="215" t="s">
        <v>9</v>
      </c>
      <c r="D323" s="218">
        <v>0.15</v>
      </c>
      <c r="E323" s="47">
        <v>0.15</v>
      </c>
      <c r="F323" s="51">
        <f t="shared" si="12"/>
        <v>0</v>
      </c>
    </row>
    <row r="324" spans="1:6" s="5" customFormat="1" x14ac:dyDescent="0.25">
      <c r="A324" s="19" t="s">
        <v>246</v>
      </c>
      <c r="B324" s="20" t="s">
        <v>245</v>
      </c>
      <c r="C324" s="19" t="s">
        <v>11</v>
      </c>
      <c r="D324" s="45">
        <f>D325</f>
        <v>1295</v>
      </c>
      <c r="E324" s="45">
        <f>E325</f>
        <v>1295</v>
      </c>
      <c r="F324" s="50">
        <f t="shared" si="12"/>
        <v>0</v>
      </c>
    </row>
    <row r="325" spans="1:6" s="5" customFormat="1" outlineLevel="1" x14ac:dyDescent="0.25">
      <c r="A325" s="17">
        <v>173</v>
      </c>
      <c r="B325" s="211" t="s">
        <v>102</v>
      </c>
      <c r="C325" s="210" t="s">
        <v>11</v>
      </c>
      <c r="D325" s="212">
        <v>1295</v>
      </c>
      <c r="E325" s="44">
        <v>1295</v>
      </c>
      <c r="F325" s="50">
        <f t="shared" si="12"/>
        <v>0</v>
      </c>
    </row>
    <row r="326" spans="1:6" s="5" customFormat="1" x14ac:dyDescent="0.25">
      <c r="A326" s="19" t="s">
        <v>247</v>
      </c>
      <c r="B326" s="20" t="s">
        <v>248</v>
      </c>
      <c r="C326" s="19" t="s">
        <v>11</v>
      </c>
      <c r="D326" s="45">
        <v>2633</v>
      </c>
      <c r="E326" s="45">
        <f>E327</f>
        <v>2633</v>
      </c>
      <c r="F326" s="50">
        <f t="shared" si="12"/>
        <v>0</v>
      </c>
    </row>
    <row r="327" spans="1:6" s="5" customFormat="1" outlineLevel="1" x14ac:dyDescent="0.25">
      <c r="A327" s="17">
        <v>174</v>
      </c>
      <c r="B327" s="211" t="s">
        <v>103</v>
      </c>
      <c r="C327" s="210" t="s">
        <v>11</v>
      </c>
      <c r="D327" s="212">
        <v>2633</v>
      </c>
      <c r="E327" s="44">
        <f>E328</f>
        <v>2633</v>
      </c>
      <c r="F327" s="50">
        <f t="shared" si="12"/>
        <v>0</v>
      </c>
    </row>
    <row r="328" spans="1:6" s="48" customFormat="1" outlineLevel="1" x14ac:dyDescent="0.25">
      <c r="A328" s="23">
        <v>175</v>
      </c>
      <c r="B328" s="214" t="s">
        <v>104</v>
      </c>
      <c r="C328" s="215" t="s">
        <v>11</v>
      </c>
      <c r="D328" s="218">
        <v>2633</v>
      </c>
      <c r="E328" s="47">
        <v>2633</v>
      </c>
      <c r="F328" s="51">
        <f t="shared" si="12"/>
        <v>0</v>
      </c>
    </row>
    <row r="329" spans="1:6" s="4" customFormat="1" ht="15.75" collapsed="1" x14ac:dyDescent="0.25">
      <c r="A329" s="206" t="s">
        <v>249</v>
      </c>
      <c r="B329" s="207"/>
      <c r="C329" s="39"/>
      <c r="D329" s="43"/>
      <c r="E329" s="43"/>
      <c r="F329" s="50">
        <f t="shared" si="12"/>
        <v>0</v>
      </c>
    </row>
    <row r="330" spans="1:6" s="4" customFormat="1" ht="15.75" x14ac:dyDescent="0.25">
      <c r="A330" s="16" t="s">
        <v>250</v>
      </c>
      <c r="B330" s="21" t="s">
        <v>251</v>
      </c>
      <c r="C330" s="16" t="s">
        <v>4</v>
      </c>
      <c r="D330" s="43">
        <f>D338</f>
        <v>410.2</v>
      </c>
      <c r="E330" s="43">
        <f>E338</f>
        <v>410.2</v>
      </c>
      <c r="F330" s="50">
        <f t="shared" si="12"/>
        <v>0</v>
      </c>
    </row>
    <row r="331" spans="1:6" s="5" customFormat="1" outlineLevel="1" x14ac:dyDescent="0.25">
      <c r="A331" s="210"/>
      <c r="B331" s="211" t="s">
        <v>105</v>
      </c>
      <c r="C331" s="210" t="s">
        <v>9</v>
      </c>
      <c r="D331" s="212">
        <v>46.3</v>
      </c>
      <c r="E331" s="44">
        <f>E332+E333+E334+E335+E336+E337</f>
        <v>46.3</v>
      </c>
      <c r="F331" s="50">
        <f t="shared" si="12"/>
        <v>0</v>
      </c>
    </row>
    <row r="332" spans="1:6" s="5" customFormat="1" outlineLevel="1" x14ac:dyDescent="0.25">
      <c r="A332" s="17"/>
      <c r="B332" s="211" t="s">
        <v>38</v>
      </c>
      <c r="C332" s="210" t="s">
        <v>9</v>
      </c>
      <c r="D332" s="224">
        <v>2.1</v>
      </c>
      <c r="E332" s="60">
        <v>2.1</v>
      </c>
      <c r="F332" s="50">
        <f t="shared" si="12"/>
        <v>0</v>
      </c>
    </row>
    <row r="333" spans="1:6" s="5" customFormat="1" outlineLevel="1" x14ac:dyDescent="0.25">
      <c r="A333" s="17"/>
      <c r="B333" s="211" t="s">
        <v>106</v>
      </c>
      <c r="C333" s="210" t="s">
        <v>9</v>
      </c>
      <c r="D333" s="224">
        <v>10.8</v>
      </c>
      <c r="E333" s="60">
        <v>10.8</v>
      </c>
      <c r="F333" s="50">
        <f t="shared" si="12"/>
        <v>0</v>
      </c>
    </row>
    <row r="334" spans="1:6" s="5" customFormat="1" outlineLevel="1" x14ac:dyDescent="0.25">
      <c r="A334" s="17"/>
      <c r="B334" s="211" t="s">
        <v>39</v>
      </c>
      <c r="C334" s="210" t="s">
        <v>9</v>
      </c>
      <c r="D334" s="224">
        <v>22.2</v>
      </c>
      <c r="E334" s="60">
        <v>22.2</v>
      </c>
      <c r="F334" s="50">
        <f t="shared" si="12"/>
        <v>0</v>
      </c>
    </row>
    <row r="335" spans="1:6" s="5" customFormat="1" outlineLevel="1" x14ac:dyDescent="0.25">
      <c r="A335" s="17"/>
      <c r="B335" s="211" t="s">
        <v>40</v>
      </c>
      <c r="C335" s="210" t="s">
        <v>9</v>
      </c>
      <c r="D335" s="224">
        <v>4.4000000000000004</v>
      </c>
      <c r="E335" s="60">
        <v>4.4000000000000004</v>
      </c>
      <c r="F335" s="50">
        <f t="shared" si="12"/>
        <v>0</v>
      </c>
    </row>
    <row r="336" spans="1:6" s="5" customFormat="1" outlineLevel="1" x14ac:dyDescent="0.25">
      <c r="A336" s="17"/>
      <c r="B336" s="211" t="s">
        <v>41</v>
      </c>
      <c r="C336" s="210" t="s">
        <v>9</v>
      </c>
      <c r="D336" s="224">
        <v>2.2999999999999998</v>
      </c>
      <c r="E336" s="60">
        <v>2.2999999999999998</v>
      </c>
      <c r="F336" s="50">
        <f t="shared" si="12"/>
        <v>0</v>
      </c>
    </row>
    <row r="337" spans="1:6" s="5" customFormat="1" outlineLevel="1" x14ac:dyDescent="0.25">
      <c r="A337" s="17"/>
      <c r="B337" s="211" t="s">
        <v>64</v>
      </c>
      <c r="C337" s="210" t="s">
        <v>9</v>
      </c>
      <c r="D337" s="224">
        <v>4.5</v>
      </c>
      <c r="E337" s="60">
        <v>4.5</v>
      </c>
      <c r="F337" s="50">
        <f t="shared" si="12"/>
        <v>0</v>
      </c>
    </row>
    <row r="338" spans="1:6" s="5" customFormat="1" outlineLevel="1" x14ac:dyDescent="0.25">
      <c r="A338" s="17"/>
      <c r="B338" s="211" t="s">
        <v>252</v>
      </c>
      <c r="C338" s="210" t="s">
        <v>4</v>
      </c>
      <c r="D338" s="224">
        <v>410.2</v>
      </c>
      <c r="E338" s="60">
        <v>410.2</v>
      </c>
      <c r="F338" s="50">
        <f t="shared" si="12"/>
        <v>0</v>
      </c>
    </row>
    <row r="339" spans="1:6" s="5" customFormat="1" outlineLevel="1" x14ac:dyDescent="0.25">
      <c r="A339" s="17"/>
      <c r="B339" s="18" t="s">
        <v>319</v>
      </c>
      <c r="C339" s="17" t="s">
        <v>4</v>
      </c>
      <c r="D339" s="60">
        <f>D338*1.02</f>
        <v>418.404</v>
      </c>
      <c r="E339" s="60">
        <f>E338*1.015</f>
        <v>416.35299999999995</v>
      </c>
      <c r="F339" s="50">
        <f t="shared" si="12"/>
        <v>-2.0510000000000446</v>
      </c>
    </row>
    <row r="340" spans="1:6" s="5" customFormat="1" outlineLevel="1" x14ac:dyDescent="0.25">
      <c r="A340" s="54"/>
      <c r="B340" s="55" t="s">
        <v>326</v>
      </c>
      <c r="C340" s="54" t="s">
        <v>11</v>
      </c>
      <c r="D340" s="44"/>
      <c r="E340" s="44">
        <v>602.99</v>
      </c>
      <c r="F340" s="50">
        <f t="shared" si="12"/>
        <v>602.99</v>
      </c>
    </row>
    <row r="341" spans="1:6" s="5" customFormat="1" ht="25.5" x14ac:dyDescent="0.25">
      <c r="A341" s="19" t="s">
        <v>253</v>
      </c>
      <c r="B341" s="26" t="s">
        <v>209</v>
      </c>
      <c r="C341" s="19" t="s">
        <v>11</v>
      </c>
      <c r="D341" s="61">
        <v>463.26</v>
      </c>
      <c r="E341" s="61">
        <v>463.26</v>
      </c>
      <c r="F341" s="50">
        <f t="shared" si="12"/>
        <v>0</v>
      </c>
    </row>
    <row r="342" spans="1:6" s="5" customFormat="1" outlineLevel="1" x14ac:dyDescent="0.25">
      <c r="A342" s="17"/>
      <c r="B342" s="211" t="s">
        <v>42</v>
      </c>
      <c r="C342" s="210" t="s">
        <v>11</v>
      </c>
      <c r="D342" s="224">
        <v>463.26</v>
      </c>
      <c r="E342" s="60">
        <v>463.26</v>
      </c>
      <c r="F342" s="50">
        <f t="shared" si="12"/>
        <v>0</v>
      </c>
    </row>
    <row r="343" spans="1:6" s="5" customFormat="1" outlineLevel="1" x14ac:dyDescent="0.25">
      <c r="A343" s="17"/>
      <c r="B343" s="55" t="s">
        <v>325</v>
      </c>
      <c r="C343" s="54" t="s">
        <v>9</v>
      </c>
      <c r="D343" s="60"/>
      <c r="E343" s="62">
        <v>7.3999999999999996E-2</v>
      </c>
      <c r="F343" s="50">
        <f t="shared" si="12"/>
        <v>7.3999999999999996E-2</v>
      </c>
    </row>
    <row r="344" spans="1:6" s="5" customFormat="1" outlineLevel="1" x14ac:dyDescent="0.25">
      <c r="A344" s="17"/>
      <c r="B344" s="55" t="s">
        <v>317</v>
      </c>
      <c r="C344" s="54" t="s">
        <v>153</v>
      </c>
      <c r="D344" s="60"/>
      <c r="E344" s="60">
        <v>2038.34</v>
      </c>
      <c r="F344" s="50">
        <f t="shared" si="12"/>
        <v>2038.34</v>
      </c>
    </row>
    <row r="345" spans="1:6" s="5" customFormat="1" outlineLevel="1" x14ac:dyDescent="0.25">
      <c r="A345" s="17"/>
      <c r="B345" s="55" t="s">
        <v>314</v>
      </c>
      <c r="C345" s="54" t="s">
        <v>11</v>
      </c>
      <c r="D345" s="60"/>
      <c r="E345" s="60">
        <v>1065.5</v>
      </c>
      <c r="F345" s="50">
        <f t="shared" si="12"/>
        <v>1065.5</v>
      </c>
    </row>
    <row r="346" spans="1:6" s="5" customFormat="1" outlineLevel="1" x14ac:dyDescent="0.25">
      <c r="A346" s="17"/>
      <c r="B346" s="211" t="s">
        <v>43</v>
      </c>
      <c r="C346" s="210" t="s">
        <v>11</v>
      </c>
      <c r="D346" s="224">
        <v>463.26</v>
      </c>
      <c r="E346" s="60">
        <v>463.26</v>
      </c>
      <c r="F346" s="50">
        <f t="shared" si="12"/>
        <v>0</v>
      </c>
    </row>
    <row r="347" spans="1:6" s="5" customFormat="1" outlineLevel="1" x14ac:dyDescent="0.25">
      <c r="A347" s="17"/>
      <c r="B347" s="58" t="s">
        <v>329</v>
      </c>
      <c r="C347" s="57" t="s">
        <v>4</v>
      </c>
      <c r="D347" s="60"/>
      <c r="E347" s="62">
        <v>46.326000000000001</v>
      </c>
      <c r="F347" s="50">
        <f t="shared" si="12"/>
        <v>46.326000000000001</v>
      </c>
    </row>
    <row r="348" spans="1:6" s="5" customFormat="1" outlineLevel="1" x14ac:dyDescent="0.25">
      <c r="A348" s="17"/>
      <c r="B348" s="225" t="s">
        <v>44</v>
      </c>
      <c r="C348" s="210" t="s">
        <v>11</v>
      </c>
      <c r="D348" s="60">
        <v>463.26</v>
      </c>
      <c r="E348" s="60">
        <v>463.26</v>
      </c>
      <c r="F348" s="50">
        <f t="shared" si="12"/>
        <v>0</v>
      </c>
    </row>
    <row r="349" spans="1:6" s="5" customFormat="1" outlineLevel="1" x14ac:dyDescent="0.25">
      <c r="A349" s="17"/>
      <c r="B349" s="58" t="s">
        <v>330</v>
      </c>
      <c r="C349" s="57" t="s">
        <v>4</v>
      </c>
      <c r="D349" s="60"/>
      <c r="E349" s="60">
        <v>10.65</v>
      </c>
      <c r="F349" s="50">
        <f t="shared" si="12"/>
        <v>10.65</v>
      </c>
    </row>
    <row r="350" spans="1:6" s="5" customFormat="1" outlineLevel="1" x14ac:dyDescent="0.25">
      <c r="A350" s="17"/>
      <c r="B350" s="58" t="s">
        <v>331</v>
      </c>
      <c r="C350" s="57" t="s">
        <v>332</v>
      </c>
      <c r="D350" s="60"/>
      <c r="E350" s="60">
        <v>23.163</v>
      </c>
      <c r="F350" s="50">
        <f t="shared" si="12"/>
        <v>23.163</v>
      </c>
    </row>
    <row r="351" spans="1:6" s="5" customFormat="1" ht="25.5" x14ac:dyDescent="0.25">
      <c r="A351" s="19" t="s">
        <v>254</v>
      </c>
      <c r="B351" s="26" t="s">
        <v>257</v>
      </c>
      <c r="C351" s="19" t="s">
        <v>4</v>
      </c>
      <c r="D351" s="61">
        <f>D358+D365+D370</f>
        <v>148.19999999999999</v>
      </c>
      <c r="E351" s="61">
        <f>E358+E365+E370</f>
        <v>148.19999999999999</v>
      </c>
      <c r="F351" s="50">
        <f t="shared" si="12"/>
        <v>0</v>
      </c>
    </row>
    <row r="352" spans="1:6" s="5" customFormat="1" outlineLevel="1" x14ac:dyDescent="0.25">
      <c r="A352" s="17"/>
      <c r="B352" s="211" t="s">
        <v>45</v>
      </c>
      <c r="C352" s="210" t="s">
        <v>11</v>
      </c>
      <c r="D352" s="224">
        <v>1830.8</v>
      </c>
      <c r="E352" s="60">
        <f>E353</f>
        <v>200.07999999999998</v>
      </c>
      <c r="F352" s="50">
        <f t="shared" si="12"/>
        <v>-1630.72</v>
      </c>
    </row>
    <row r="353" spans="1:6" s="5" customFormat="1" outlineLevel="1" x14ac:dyDescent="0.25">
      <c r="A353" s="54"/>
      <c r="B353" s="55" t="s">
        <v>326</v>
      </c>
      <c r="C353" s="54" t="s">
        <v>11</v>
      </c>
      <c r="D353" s="44"/>
      <c r="E353" s="44">
        <f>34.43+88.16+77.49</f>
        <v>200.07999999999998</v>
      </c>
      <c r="F353" s="50">
        <f t="shared" ref="F353" si="13">E353-D353</f>
        <v>200.07999999999998</v>
      </c>
    </row>
    <row r="354" spans="1:6" s="5" customFormat="1" outlineLevel="1" x14ac:dyDescent="0.25">
      <c r="A354" s="17"/>
      <c r="B354" s="211" t="s">
        <v>46</v>
      </c>
      <c r="C354" s="210" t="s">
        <v>9</v>
      </c>
      <c r="D354" s="224">
        <v>7.1</v>
      </c>
      <c r="E354" s="60">
        <f>E355+E356+E357</f>
        <v>7.1000000000000005</v>
      </c>
      <c r="F354" s="50">
        <f t="shared" si="12"/>
        <v>0</v>
      </c>
    </row>
    <row r="355" spans="1:6" s="5" customFormat="1" outlineLevel="1" x14ac:dyDescent="0.25">
      <c r="A355" s="17"/>
      <c r="B355" s="211" t="s">
        <v>107</v>
      </c>
      <c r="C355" s="210" t="s">
        <v>9</v>
      </c>
      <c r="D355" s="224">
        <v>3.3</v>
      </c>
      <c r="E355" s="60">
        <v>3.3</v>
      </c>
      <c r="F355" s="50">
        <f t="shared" si="12"/>
        <v>0</v>
      </c>
    </row>
    <row r="356" spans="1:6" s="5" customFormat="1" outlineLevel="1" x14ac:dyDescent="0.25">
      <c r="A356" s="17"/>
      <c r="B356" s="211" t="s">
        <v>64</v>
      </c>
      <c r="C356" s="210" t="s">
        <v>9</v>
      </c>
      <c r="D356" s="224">
        <v>3.1</v>
      </c>
      <c r="E356" s="60">
        <v>3.1</v>
      </c>
      <c r="F356" s="50">
        <f t="shared" si="12"/>
        <v>0</v>
      </c>
    </row>
    <row r="357" spans="1:6" s="5" customFormat="1" outlineLevel="1" x14ac:dyDescent="0.25">
      <c r="A357" s="17"/>
      <c r="B357" s="211" t="s">
        <v>65</v>
      </c>
      <c r="C357" s="210" t="s">
        <v>9</v>
      </c>
      <c r="D357" s="224">
        <v>0.7</v>
      </c>
      <c r="E357" s="60">
        <v>0.7</v>
      </c>
      <c r="F357" s="50">
        <f t="shared" si="12"/>
        <v>0</v>
      </c>
    </row>
    <row r="358" spans="1:6" s="5" customFormat="1" outlineLevel="1" x14ac:dyDescent="0.25">
      <c r="A358" s="17"/>
      <c r="B358" s="211" t="s">
        <v>72</v>
      </c>
      <c r="C358" s="210" t="s">
        <v>4</v>
      </c>
      <c r="D358" s="224">
        <v>25.5</v>
      </c>
      <c r="E358" s="60">
        <v>25.5</v>
      </c>
      <c r="F358" s="50">
        <f t="shared" si="12"/>
        <v>0</v>
      </c>
    </row>
    <row r="359" spans="1:6" s="5" customFormat="1" outlineLevel="1" x14ac:dyDescent="0.25">
      <c r="A359" s="17"/>
      <c r="B359" s="18" t="s">
        <v>333</v>
      </c>
      <c r="C359" s="17" t="s">
        <v>4</v>
      </c>
      <c r="D359" s="60">
        <f>D358*1.02</f>
        <v>26.01</v>
      </c>
      <c r="E359" s="60">
        <f>E358*1.015</f>
        <v>25.882499999999997</v>
      </c>
      <c r="F359" s="50">
        <f t="shared" si="12"/>
        <v>-0.12750000000000483</v>
      </c>
    </row>
    <row r="360" spans="1:6" s="5" customFormat="1" outlineLevel="1" x14ac:dyDescent="0.25">
      <c r="A360" s="17"/>
      <c r="B360" s="211" t="s">
        <v>68</v>
      </c>
      <c r="C360" s="210" t="s">
        <v>9</v>
      </c>
      <c r="D360" s="224">
        <v>17.399999999999999</v>
      </c>
      <c r="E360" s="60">
        <f>E361+E362+E363+E364</f>
        <v>17.400000000000002</v>
      </c>
      <c r="F360" s="50">
        <f t="shared" ref="F360:F427" si="14">E360-D360</f>
        <v>0</v>
      </c>
    </row>
    <row r="361" spans="1:6" s="5" customFormat="1" outlineLevel="1" x14ac:dyDescent="0.25">
      <c r="A361" s="17"/>
      <c r="B361" s="211" t="s">
        <v>40</v>
      </c>
      <c r="C361" s="210" t="s">
        <v>9</v>
      </c>
      <c r="D361" s="224">
        <v>1.9</v>
      </c>
      <c r="E361" s="60">
        <v>1.9</v>
      </c>
      <c r="F361" s="50">
        <f t="shared" si="14"/>
        <v>0</v>
      </c>
    </row>
    <row r="362" spans="1:6" s="5" customFormat="1" outlineLevel="1" x14ac:dyDescent="0.25">
      <c r="A362" s="17"/>
      <c r="B362" s="211" t="s">
        <v>107</v>
      </c>
      <c r="C362" s="210" t="s">
        <v>9</v>
      </c>
      <c r="D362" s="224">
        <v>6.3</v>
      </c>
      <c r="E362" s="60">
        <v>6.3</v>
      </c>
      <c r="F362" s="50">
        <f t="shared" si="14"/>
        <v>0</v>
      </c>
    </row>
    <row r="363" spans="1:6" s="5" customFormat="1" outlineLevel="1" x14ac:dyDescent="0.25">
      <c r="A363" s="17"/>
      <c r="B363" s="211" t="s">
        <v>64</v>
      </c>
      <c r="C363" s="210" t="s">
        <v>9</v>
      </c>
      <c r="D363" s="224">
        <v>7.9</v>
      </c>
      <c r="E363" s="60">
        <v>7.9</v>
      </c>
      <c r="F363" s="50">
        <f t="shared" si="14"/>
        <v>0</v>
      </c>
    </row>
    <row r="364" spans="1:6" s="5" customFormat="1" outlineLevel="1" x14ac:dyDescent="0.25">
      <c r="A364" s="17"/>
      <c r="B364" s="211" t="s">
        <v>65</v>
      </c>
      <c r="C364" s="210" t="s">
        <v>9</v>
      </c>
      <c r="D364" s="224">
        <v>1.3</v>
      </c>
      <c r="E364" s="60">
        <v>1.3</v>
      </c>
      <c r="F364" s="50">
        <f t="shared" si="14"/>
        <v>0</v>
      </c>
    </row>
    <row r="365" spans="1:6" s="5" customFormat="1" outlineLevel="1" x14ac:dyDescent="0.25">
      <c r="A365" s="17"/>
      <c r="B365" s="211" t="s">
        <v>72</v>
      </c>
      <c r="C365" s="210" t="s">
        <v>4</v>
      </c>
      <c r="D365" s="224">
        <v>65.3</v>
      </c>
      <c r="E365" s="60">
        <v>65.3</v>
      </c>
      <c r="F365" s="50">
        <f t="shared" si="14"/>
        <v>0</v>
      </c>
    </row>
    <row r="366" spans="1:6" s="5" customFormat="1" outlineLevel="1" x14ac:dyDescent="0.25">
      <c r="A366" s="17"/>
      <c r="B366" s="18" t="s">
        <v>333</v>
      </c>
      <c r="C366" s="17" t="s">
        <v>4</v>
      </c>
      <c r="D366" s="60">
        <f>D365*1.02</f>
        <v>66.605999999999995</v>
      </c>
      <c r="E366" s="60">
        <f>E365*1.015</f>
        <v>66.279499999999985</v>
      </c>
      <c r="F366" s="50">
        <f t="shared" si="14"/>
        <v>-0.32650000000001</v>
      </c>
    </row>
    <row r="367" spans="1:6" s="5" customFormat="1" outlineLevel="1" x14ac:dyDescent="0.25">
      <c r="A367" s="17"/>
      <c r="B367" s="211" t="s">
        <v>71</v>
      </c>
      <c r="C367" s="210" t="s">
        <v>9</v>
      </c>
      <c r="D367" s="224">
        <v>10.9</v>
      </c>
      <c r="E367" s="60">
        <f>E368+E369</f>
        <v>10.9</v>
      </c>
      <c r="F367" s="50">
        <f t="shared" si="14"/>
        <v>0</v>
      </c>
    </row>
    <row r="368" spans="1:6" s="5" customFormat="1" outlineLevel="1" x14ac:dyDescent="0.25">
      <c r="A368" s="17"/>
      <c r="B368" s="211" t="s">
        <v>64</v>
      </c>
      <c r="C368" s="210" t="s">
        <v>9</v>
      </c>
      <c r="D368" s="224">
        <v>10.3</v>
      </c>
      <c r="E368" s="60">
        <v>10.3</v>
      </c>
      <c r="F368" s="50">
        <f t="shared" si="14"/>
        <v>0</v>
      </c>
    </row>
    <row r="369" spans="1:6" s="5" customFormat="1" outlineLevel="1" x14ac:dyDescent="0.25">
      <c r="A369" s="17"/>
      <c r="B369" s="211" t="s">
        <v>65</v>
      </c>
      <c r="C369" s="210" t="s">
        <v>9</v>
      </c>
      <c r="D369" s="224">
        <v>0.6</v>
      </c>
      <c r="E369" s="60">
        <v>0.6</v>
      </c>
      <c r="F369" s="50">
        <f t="shared" si="14"/>
        <v>0</v>
      </c>
    </row>
    <row r="370" spans="1:6" s="5" customFormat="1" outlineLevel="1" x14ac:dyDescent="0.25">
      <c r="A370" s="17"/>
      <c r="B370" s="211" t="s">
        <v>72</v>
      </c>
      <c r="C370" s="210" t="s">
        <v>4</v>
      </c>
      <c r="D370" s="224">
        <v>57.4</v>
      </c>
      <c r="E370" s="60">
        <v>57.4</v>
      </c>
      <c r="F370" s="50">
        <f t="shared" si="14"/>
        <v>0</v>
      </c>
    </row>
    <row r="371" spans="1:6" s="5" customFormat="1" outlineLevel="1" x14ac:dyDescent="0.25">
      <c r="A371" s="17"/>
      <c r="B371" s="18" t="s">
        <v>333</v>
      </c>
      <c r="C371" s="17" t="s">
        <v>4</v>
      </c>
      <c r="D371" s="60">
        <f>D370*1.02</f>
        <v>58.548000000000002</v>
      </c>
      <c r="E371" s="60">
        <f>E370*1.015</f>
        <v>58.260999999999996</v>
      </c>
      <c r="F371" s="50">
        <f t="shared" si="14"/>
        <v>-0.28700000000000614</v>
      </c>
    </row>
    <row r="372" spans="1:6" s="5" customFormat="1" ht="21" customHeight="1" x14ac:dyDescent="0.25">
      <c r="A372" s="19" t="s">
        <v>255</v>
      </c>
      <c r="B372" s="20" t="s">
        <v>258</v>
      </c>
      <c r="C372" s="19" t="s">
        <v>4</v>
      </c>
      <c r="D372" s="61">
        <f>D380</f>
        <v>795</v>
      </c>
      <c r="E372" s="61">
        <f>E380</f>
        <v>795</v>
      </c>
      <c r="F372" s="50">
        <f t="shared" si="14"/>
        <v>0</v>
      </c>
    </row>
    <row r="373" spans="1:6" s="5" customFormat="1" outlineLevel="1" x14ac:dyDescent="0.25">
      <c r="A373" s="17"/>
      <c r="B373" s="211" t="s">
        <v>50</v>
      </c>
      <c r="C373" s="210" t="s">
        <v>11</v>
      </c>
      <c r="D373" s="224">
        <v>3032</v>
      </c>
      <c r="E373" s="60">
        <f>E374</f>
        <v>418.17</v>
      </c>
      <c r="F373" s="50">
        <f t="shared" si="14"/>
        <v>-2613.83</v>
      </c>
    </row>
    <row r="374" spans="1:6" s="5" customFormat="1" outlineLevel="1" x14ac:dyDescent="0.25">
      <c r="A374" s="54"/>
      <c r="B374" s="55" t="s">
        <v>326</v>
      </c>
      <c r="C374" s="54" t="s">
        <v>11</v>
      </c>
      <c r="D374" s="44"/>
      <c r="E374" s="44">
        <v>418.17</v>
      </c>
      <c r="F374" s="50">
        <f t="shared" si="14"/>
        <v>418.17</v>
      </c>
    </row>
    <row r="375" spans="1:6" s="5" customFormat="1" outlineLevel="1" x14ac:dyDescent="0.25">
      <c r="A375" s="17"/>
      <c r="B375" s="211" t="s">
        <v>51</v>
      </c>
      <c r="C375" s="210" t="s">
        <v>9</v>
      </c>
      <c r="D375" s="224">
        <v>170</v>
      </c>
      <c r="E375" s="60">
        <f>E376+E377+E378+E379</f>
        <v>170</v>
      </c>
      <c r="F375" s="50">
        <f t="shared" si="14"/>
        <v>0</v>
      </c>
    </row>
    <row r="376" spans="1:6" s="5" customFormat="1" outlineLevel="1" x14ac:dyDescent="0.25">
      <c r="A376" s="17"/>
      <c r="B376" s="211" t="s">
        <v>52</v>
      </c>
      <c r="C376" s="210" t="s">
        <v>9</v>
      </c>
      <c r="D376" s="224">
        <v>93.5</v>
      </c>
      <c r="E376" s="60">
        <v>93.5</v>
      </c>
      <c r="F376" s="50">
        <f t="shared" si="14"/>
        <v>0</v>
      </c>
    </row>
    <row r="377" spans="1:6" s="5" customFormat="1" outlineLevel="1" x14ac:dyDescent="0.25">
      <c r="A377" s="17"/>
      <c r="B377" s="211" t="s">
        <v>53</v>
      </c>
      <c r="C377" s="210" t="s">
        <v>9</v>
      </c>
      <c r="D377" s="224">
        <v>27.2</v>
      </c>
      <c r="E377" s="60">
        <v>27.2</v>
      </c>
      <c r="F377" s="50">
        <f t="shared" si="14"/>
        <v>0</v>
      </c>
    </row>
    <row r="378" spans="1:6" s="5" customFormat="1" outlineLevel="1" x14ac:dyDescent="0.25">
      <c r="A378" s="17"/>
      <c r="B378" s="211" t="s">
        <v>41</v>
      </c>
      <c r="C378" s="210" t="s">
        <v>9</v>
      </c>
      <c r="D378" s="224">
        <v>40.799999999999997</v>
      </c>
      <c r="E378" s="60">
        <v>40.799999999999997</v>
      </c>
      <c r="F378" s="50">
        <f t="shared" si="14"/>
        <v>0</v>
      </c>
    </row>
    <row r="379" spans="1:6" s="5" customFormat="1" outlineLevel="1" x14ac:dyDescent="0.25">
      <c r="A379" s="17"/>
      <c r="B379" s="211" t="s">
        <v>38</v>
      </c>
      <c r="C379" s="210" t="s">
        <v>9</v>
      </c>
      <c r="D379" s="224">
        <v>8.5</v>
      </c>
      <c r="E379" s="60">
        <v>8.5</v>
      </c>
      <c r="F379" s="50">
        <f t="shared" si="14"/>
        <v>0</v>
      </c>
    </row>
    <row r="380" spans="1:6" s="5" customFormat="1" outlineLevel="1" x14ac:dyDescent="0.25">
      <c r="A380" s="17"/>
      <c r="B380" s="211" t="s">
        <v>54</v>
      </c>
      <c r="C380" s="210" t="s">
        <v>4</v>
      </c>
      <c r="D380" s="224">
        <v>795</v>
      </c>
      <c r="E380" s="60">
        <v>795</v>
      </c>
      <c r="F380" s="50">
        <f t="shared" si="14"/>
        <v>0</v>
      </c>
    </row>
    <row r="381" spans="1:6" s="5" customFormat="1" outlineLevel="1" x14ac:dyDescent="0.25">
      <c r="A381" s="17"/>
      <c r="B381" s="18" t="s">
        <v>333</v>
      </c>
      <c r="C381" s="17" t="s">
        <v>4</v>
      </c>
      <c r="D381" s="60">
        <f>D380*1.02</f>
        <v>810.9</v>
      </c>
      <c r="E381" s="60">
        <f>E380*1.015</f>
        <v>806.92499999999995</v>
      </c>
      <c r="F381" s="50">
        <f t="shared" si="14"/>
        <v>-3.9750000000000227</v>
      </c>
    </row>
    <row r="382" spans="1:6" s="5" customFormat="1" ht="18" customHeight="1" x14ac:dyDescent="0.25">
      <c r="A382" s="19" t="s">
        <v>256</v>
      </c>
      <c r="B382" s="20" t="s">
        <v>259</v>
      </c>
      <c r="C382" s="19" t="s">
        <v>4</v>
      </c>
      <c r="D382" s="61">
        <f>D388</f>
        <v>48.6</v>
      </c>
      <c r="E382" s="61">
        <f>E388</f>
        <v>48.6</v>
      </c>
      <c r="F382" s="50">
        <f t="shared" si="14"/>
        <v>0</v>
      </c>
    </row>
    <row r="383" spans="1:6" s="5" customFormat="1" outlineLevel="1" x14ac:dyDescent="0.25">
      <c r="A383" s="17"/>
      <c r="B383" s="211" t="s">
        <v>55</v>
      </c>
      <c r="C383" s="210" t="s">
        <v>11</v>
      </c>
      <c r="D383" s="224">
        <v>162</v>
      </c>
      <c r="E383" s="60">
        <f>E384</f>
        <v>70.08</v>
      </c>
      <c r="F383" s="50">
        <f t="shared" si="14"/>
        <v>-91.92</v>
      </c>
    </row>
    <row r="384" spans="1:6" s="5" customFormat="1" outlineLevel="1" x14ac:dyDescent="0.25">
      <c r="A384" s="54"/>
      <c r="B384" s="55" t="s">
        <v>326</v>
      </c>
      <c r="C384" s="54" t="s">
        <v>11</v>
      </c>
      <c r="D384" s="44"/>
      <c r="E384" s="44">
        <v>70.08</v>
      </c>
      <c r="F384" s="50">
        <f t="shared" ref="F384" si="15">E384-D384</f>
        <v>70.08</v>
      </c>
    </row>
    <row r="385" spans="1:6" s="5" customFormat="1" outlineLevel="1" x14ac:dyDescent="0.25">
      <c r="A385" s="17"/>
      <c r="B385" s="211" t="s">
        <v>56</v>
      </c>
      <c r="C385" s="210" t="s">
        <v>9</v>
      </c>
      <c r="D385" s="212">
        <v>4.601</v>
      </c>
      <c r="E385" s="44">
        <f>E386+E387</f>
        <v>4.5999999999999996</v>
      </c>
      <c r="F385" s="50">
        <f t="shared" si="14"/>
        <v>-1.000000000000334E-3</v>
      </c>
    </row>
    <row r="386" spans="1:6" s="5" customFormat="1" outlineLevel="1" x14ac:dyDescent="0.25">
      <c r="A386" s="17"/>
      <c r="B386" s="211" t="s">
        <v>39</v>
      </c>
      <c r="C386" s="210" t="s">
        <v>9</v>
      </c>
      <c r="D386" s="224">
        <v>4.3</v>
      </c>
      <c r="E386" s="60">
        <v>4.3</v>
      </c>
      <c r="F386" s="50">
        <f t="shared" si="14"/>
        <v>0</v>
      </c>
    </row>
    <row r="387" spans="1:6" s="5" customFormat="1" outlineLevel="1" x14ac:dyDescent="0.25">
      <c r="A387" s="17"/>
      <c r="B387" s="211" t="s">
        <v>108</v>
      </c>
      <c r="C387" s="210" t="s">
        <v>9</v>
      </c>
      <c r="D387" s="224">
        <v>0.30099999999999999</v>
      </c>
      <c r="E387" s="60">
        <v>0.3</v>
      </c>
      <c r="F387" s="50">
        <f t="shared" si="14"/>
        <v>-1.0000000000000009E-3</v>
      </c>
    </row>
    <row r="388" spans="1:6" s="5" customFormat="1" outlineLevel="1" x14ac:dyDescent="0.25">
      <c r="A388" s="17"/>
      <c r="B388" s="211" t="s">
        <v>57</v>
      </c>
      <c r="C388" s="210" t="s">
        <v>4</v>
      </c>
      <c r="D388" s="224">
        <v>48.6</v>
      </c>
      <c r="E388" s="60">
        <v>48.6</v>
      </c>
      <c r="F388" s="50">
        <f t="shared" si="14"/>
        <v>0</v>
      </c>
    </row>
    <row r="389" spans="1:6" s="5" customFormat="1" outlineLevel="1" x14ac:dyDescent="0.25">
      <c r="A389" s="17"/>
      <c r="B389" s="18" t="s">
        <v>333</v>
      </c>
      <c r="C389" s="17" t="s">
        <v>4</v>
      </c>
      <c r="D389" s="60">
        <f>D388*1.02</f>
        <v>49.572000000000003</v>
      </c>
      <c r="E389" s="60">
        <f>E388*1.015</f>
        <v>49.328999999999994</v>
      </c>
      <c r="F389" s="50">
        <f t="shared" si="14"/>
        <v>-0.24300000000000921</v>
      </c>
    </row>
    <row r="390" spans="1:6" s="5" customFormat="1" x14ac:dyDescent="0.25">
      <c r="A390" s="19" t="s">
        <v>260</v>
      </c>
      <c r="B390" s="20" t="s">
        <v>263</v>
      </c>
      <c r="C390" s="19" t="s">
        <v>4</v>
      </c>
      <c r="D390" s="61">
        <f>D397</f>
        <v>107.7</v>
      </c>
      <c r="E390" s="61">
        <f>E397</f>
        <v>107.7</v>
      </c>
      <c r="F390" s="50">
        <f t="shared" si="14"/>
        <v>0</v>
      </c>
    </row>
    <row r="391" spans="1:6" s="5" customFormat="1" outlineLevel="1" x14ac:dyDescent="0.25">
      <c r="A391" s="17"/>
      <c r="B391" s="211" t="s">
        <v>109</v>
      </c>
      <c r="C391" s="210" t="s">
        <v>11</v>
      </c>
      <c r="D391" s="224">
        <v>430.9</v>
      </c>
      <c r="E391" s="60">
        <f>E392</f>
        <v>3.87</v>
      </c>
      <c r="F391" s="50">
        <f t="shared" si="14"/>
        <v>-427.03</v>
      </c>
    </row>
    <row r="392" spans="1:6" s="5" customFormat="1" outlineLevel="1" x14ac:dyDescent="0.25">
      <c r="A392" s="54"/>
      <c r="B392" s="55" t="s">
        <v>326</v>
      </c>
      <c r="C392" s="54" t="s">
        <v>11</v>
      </c>
      <c r="D392" s="44"/>
      <c r="E392" s="44">
        <v>3.87</v>
      </c>
      <c r="F392" s="50">
        <f t="shared" si="14"/>
        <v>3.87</v>
      </c>
    </row>
    <row r="393" spans="1:6" s="5" customFormat="1" outlineLevel="1" x14ac:dyDescent="0.25">
      <c r="A393" s="17"/>
      <c r="B393" s="211" t="s">
        <v>110</v>
      </c>
      <c r="C393" s="210" t="s">
        <v>9</v>
      </c>
      <c r="D393" s="224">
        <v>24.8</v>
      </c>
      <c r="E393" s="60">
        <f>E394+E395+E396</f>
        <v>24.799999999999997</v>
      </c>
      <c r="F393" s="50">
        <f t="shared" si="14"/>
        <v>0</v>
      </c>
    </row>
    <row r="394" spans="1:6" s="5" customFormat="1" outlineLevel="1" x14ac:dyDescent="0.25">
      <c r="A394" s="17"/>
      <c r="B394" s="211" t="s">
        <v>52</v>
      </c>
      <c r="C394" s="210" t="s">
        <v>9</v>
      </c>
      <c r="D394" s="224">
        <v>14.5</v>
      </c>
      <c r="E394" s="60">
        <v>14.5</v>
      </c>
      <c r="F394" s="50">
        <f t="shared" si="14"/>
        <v>0</v>
      </c>
    </row>
    <row r="395" spans="1:6" s="5" customFormat="1" outlineLevel="1" x14ac:dyDescent="0.25">
      <c r="A395" s="17"/>
      <c r="B395" s="211" t="s">
        <v>111</v>
      </c>
      <c r="C395" s="210" t="s">
        <v>9</v>
      </c>
      <c r="D395" s="224">
        <v>7.4</v>
      </c>
      <c r="E395" s="60">
        <v>7.4</v>
      </c>
      <c r="F395" s="50">
        <f t="shared" si="14"/>
        <v>0</v>
      </c>
    </row>
    <row r="396" spans="1:6" s="5" customFormat="1" outlineLevel="1" x14ac:dyDescent="0.25">
      <c r="A396" s="17"/>
      <c r="B396" s="223" t="s">
        <v>136</v>
      </c>
      <c r="C396" s="210" t="s">
        <v>9</v>
      </c>
      <c r="D396" s="224">
        <v>2.9</v>
      </c>
      <c r="E396" s="60">
        <v>2.9</v>
      </c>
      <c r="F396" s="50">
        <f t="shared" si="14"/>
        <v>0</v>
      </c>
    </row>
    <row r="397" spans="1:6" s="5" customFormat="1" outlineLevel="1" x14ac:dyDescent="0.25">
      <c r="A397" s="17"/>
      <c r="B397" s="211" t="s">
        <v>112</v>
      </c>
      <c r="C397" s="210" t="s">
        <v>4</v>
      </c>
      <c r="D397" s="224">
        <v>107.7</v>
      </c>
      <c r="E397" s="60">
        <v>107.7</v>
      </c>
      <c r="F397" s="50">
        <f t="shared" si="14"/>
        <v>0</v>
      </c>
    </row>
    <row r="398" spans="1:6" s="5" customFormat="1" outlineLevel="1" x14ac:dyDescent="0.25">
      <c r="A398" s="17"/>
      <c r="B398" s="18" t="s">
        <v>333</v>
      </c>
      <c r="C398" s="17" t="s">
        <v>4</v>
      </c>
      <c r="D398" s="60">
        <f>D397*1.02</f>
        <v>109.854</v>
      </c>
      <c r="E398" s="60">
        <f>E397*1.015</f>
        <v>109.31549999999999</v>
      </c>
      <c r="F398" s="50">
        <f t="shared" si="14"/>
        <v>-0.5385000000000133</v>
      </c>
    </row>
    <row r="399" spans="1:6" s="5" customFormat="1" x14ac:dyDescent="0.25">
      <c r="A399" s="19" t="s">
        <v>261</v>
      </c>
      <c r="B399" s="20" t="s">
        <v>262</v>
      </c>
      <c r="C399" s="19" t="s">
        <v>4</v>
      </c>
      <c r="D399" s="61">
        <f>D405</f>
        <v>76.5</v>
      </c>
      <c r="E399" s="61">
        <f>E405</f>
        <v>76.5</v>
      </c>
      <c r="F399" s="50">
        <f t="shared" si="14"/>
        <v>0</v>
      </c>
    </row>
    <row r="400" spans="1:6" s="5" customFormat="1" outlineLevel="1" x14ac:dyDescent="0.25">
      <c r="A400" s="17"/>
      <c r="B400" s="211" t="s">
        <v>30</v>
      </c>
      <c r="C400" s="210" t="s">
        <v>11</v>
      </c>
      <c r="D400" s="224">
        <v>403.75</v>
      </c>
      <c r="E400" s="60">
        <f>E401</f>
        <v>56.61</v>
      </c>
      <c r="F400" s="50">
        <f t="shared" si="14"/>
        <v>-347.14</v>
      </c>
    </row>
    <row r="401" spans="1:6" s="5" customFormat="1" outlineLevel="1" x14ac:dyDescent="0.25">
      <c r="A401" s="54"/>
      <c r="B401" s="55" t="s">
        <v>326</v>
      </c>
      <c r="C401" s="54" t="s">
        <v>11</v>
      </c>
      <c r="D401" s="44"/>
      <c r="E401" s="44">
        <v>56.61</v>
      </c>
      <c r="F401" s="50">
        <f t="shared" ref="F401" si="16">E401-D401</f>
        <v>56.61</v>
      </c>
    </row>
    <row r="402" spans="1:6" s="5" customFormat="1" outlineLevel="1" x14ac:dyDescent="0.25">
      <c r="A402" s="17"/>
      <c r="B402" s="211" t="s">
        <v>113</v>
      </c>
      <c r="C402" s="210" t="s">
        <v>9</v>
      </c>
      <c r="D402" s="224">
        <v>7.7</v>
      </c>
      <c r="E402" s="60">
        <f>E403+E404</f>
        <v>7.7</v>
      </c>
      <c r="F402" s="50">
        <f t="shared" si="14"/>
        <v>0</v>
      </c>
    </row>
    <row r="403" spans="1:6" s="5" customFormat="1" outlineLevel="1" x14ac:dyDescent="0.25">
      <c r="A403" s="17"/>
      <c r="B403" s="211" t="s">
        <v>38</v>
      </c>
      <c r="C403" s="210" t="s">
        <v>9</v>
      </c>
      <c r="D403" s="224">
        <v>7.5</v>
      </c>
      <c r="E403" s="60">
        <v>7.5</v>
      </c>
      <c r="F403" s="50">
        <f t="shared" si="14"/>
        <v>0</v>
      </c>
    </row>
    <row r="404" spans="1:6" s="5" customFormat="1" outlineLevel="1" x14ac:dyDescent="0.25">
      <c r="A404" s="17"/>
      <c r="B404" s="211" t="s">
        <v>52</v>
      </c>
      <c r="C404" s="210" t="s">
        <v>9</v>
      </c>
      <c r="D404" s="224">
        <v>0.2</v>
      </c>
      <c r="E404" s="60">
        <v>0.2</v>
      </c>
      <c r="F404" s="50">
        <f t="shared" si="14"/>
        <v>0</v>
      </c>
    </row>
    <row r="405" spans="1:6" s="5" customFormat="1" outlineLevel="1" x14ac:dyDescent="0.25">
      <c r="A405" s="17"/>
      <c r="B405" s="211" t="s">
        <v>305</v>
      </c>
      <c r="C405" s="210" t="s">
        <v>4</v>
      </c>
      <c r="D405" s="224">
        <v>76.5</v>
      </c>
      <c r="E405" s="60">
        <v>76.5</v>
      </c>
      <c r="F405" s="50">
        <f t="shared" si="14"/>
        <v>0</v>
      </c>
    </row>
    <row r="406" spans="1:6" s="5" customFormat="1" outlineLevel="1" x14ac:dyDescent="0.25">
      <c r="A406" s="17"/>
      <c r="B406" s="18" t="s">
        <v>319</v>
      </c>
      <c r="C406" s="17" t="s">
        <v>4</v>
      </c>
      <c r="D406" s="60">
        <f>D405*1.02</f>
        <v>78.03</v>
      </c>
      <c r="E406" s="60">
        <f>E405*1.015</f>
        <v>77.647499999999994</v>
      </c>
      <c r="F406" s="50">
        <f t="shared" si="14"/>
        <v>-0.38250000000000739</v>
      </c>
    </row>
    <row r="407" spans="1:6" s="4" customFormat="1" ht="15.75" x14ac:dyDescent="0.25">
      <c r="A407" s="206" t="s">
        <v>264</v>
      </c>
      <c r="B407" s="207"/>
      <c r="C407" s="39"/>
      <c r="D407" s="43"/>
      <c r="E407" s="43"/>
      <c r="F407" s="50">
        <f t="shared" si="14"/>
        <v>0</v>
      </c>
    </row>
    <row r="408" spans="1:6" s="4" customFormat="1" ht="15.75" x14ac:dyDescent="0.25">
      <c r="A408" s="16" t="s">
        <v>265</v>
      </c>
      <c r="B408" s="21" t="s">
        <v>270</v>
      </c>
      <c r="C408" s="16" t="s">
        <v>9</v>
      </c>
      <c r="D408" s="43">
        <f>D409</f>
        <v>16.3</v>
      </c>
      <c r="E408" s="43">
        <f>E409</f>
        <v>11.5</v>
      </c>
      <c r="F408" s="50">
        <f t="shared" si="14"/>
        <v>-4.8000000000000007</v>
      </c>
    </row>
    <row r="409" spans="1:6" s="5" customFormat="1" outlineLevel="1" x14ac:dyDescent="0.25">
      <c r="A409" s="210"/>
      <c r="B409" s="211" t="s">
        <v>76</v>
      </c>
      <c r="C409" s="210" t="s">
        <v>9</v>
      </c>
      <c r="D409" s="212">
        <v>16.3</v>
      </c>
      <c r="E409" s="44">
        <f>E410+E411+E412+E413+E414</f>
        <v>11.5</v>
      </c>
      <c r="F409" s="50">
        <f t="shared" si="14"/>
        <v>-4.8000000000000007</v>
      </c>
    </row>
    <row r="410" spans="1:6" s="5" customFormat="1" outlineLevel="1" x14ac:dyDescent="0.25">
      <c r="A410" s="17"/>
      <c r="B410" s="211" t="s">
        <v>77</v>
      </c>
      <c r="C410" s="210" t="s">
        <v>9</v>
      </c>
      <c r="D410" s="212">
        <v>1.1000000000000001</v>
      </c>
      <c r="E410" s="44">
        <v>1.1000000000000001</v>
      </c>
      <c r="F410" s="50">
        <f t="shared" si="14"/>
        <v>0</v>
      </c>
    </row>
    <row r="411" spans="1:6" s="5" customFormat="1" outlineLevel="1" x14ac:dyDescent="0.25">
      <c r="A411" s="17"/>
      <c r="B411" s="211" t="s">
        <v>78</v>
      </c>
      <c r="C411" s="210" t="s">
        <v>9</v>
      </c>
      <c r="D411" s="212">
        <v>1.7</v>
      </c>
      <c r="E411" s="44">
        <v>1.7</v>
      </c>
      <c r="F411" s="50">
        <f t="shared" si="14"/>
        <v>0</v>
      </c>
    </row>
    <row r="412" spans="1:6" s="5" customFormat="1" outlineLevel="1" x14ac:dyDescent="0.25">
      <c r="A412" s="17"/>
      <c r="B412" s="211" t="s">
        <v>79</v>
      </c>
      <c r="C412" s="210" t="s">
        <v>9</v>
      </c>
      <c r="D412" s="212">
        <v>1.9</v>
      </c>
      <c r="E412" s="44">
        <v>1.9</v>
      </c>
      <c r="F412" s="50">
        <f t="shared" si="14"/>
        <v>0</v>
      </c>
    </row>
    <row r="413" spans="1:6" s="5" customFormat="1" outlineLevel="1" x14ac:dyDescent="0.25">
      <c r="A413" s="17"/>
      <c r="B413" s="211" t="s">
        <v>85</v>
      </c>
      <c r="C413" s="210" t="s">
        <v>9</v>
      </c>
      <c r="D413" s="212">
        <v>2.5</v>
      </c>
      <c r="E413" s="44">
        <v>2.5</v>
      </c>
      <c r="F413" s="50">
        <f t="shared" si="14"/>
        <v>0</v>
      </c>
    </row>
    <row r="414" spans="1:6" s="5" customFormat="1" outlineLevel="1" x14ac:dyDescent="0.25">
      <c r="A414" s="17"/>
      <c r="B414" s="211" t="s">
        <v>114</v>
      </c>
      <c r="C414" s="210" t="s">
        <v>9</v>
      </c>
      <c r="D414" s="212">
        <v>4.3</v>
      </c>
      <c r="E414" s="44">
        <v>4.3</v>
      </c>
      <c r="F414" s="50">
        <f t="shared" si="14"/>
        <v>0</v>
      </c>
    </row>
    <row r="415" spans="1:6" s="5" customFormat="1" x14ac:dyDescent="0.25">
      <c r="A415" s="19" t="s">
        <v>266</v>
      </c>
      <c r="B415" s="20" t="s">
        <v>271</v>
      </c>
      <c r="C415" s="19" t="s">
        <v>9</v>
      </c>
      <c r="D415" s="45">
        <v>4.8</v>
      </c>
      <c r="E415" s="45">
        <f>E416</f>
        <v>4.8</v>
      </c>
      <c r="F415" s="50">
        <f t="shared" si="14"/>
        <v>0</v>
      </c>
    </row>
    <row r="416" spans="1:6" s="5" customFormat="1" outlineLevel="1" x14ac:dyDescent="0.25">
      <c r="A416" s="17"/>
      <c r="B416" s="227" t="s">
        <v>82</v>
      </c>
      <c r="C416" s="210" t="s">
        <v>9</v>
      </c>
      <c r="D416" s="212">
        <v>4.8</v>
      </c>
      <c r="E416" s="44">
        <v>4.8</v>
      </c>
      <c r="F416" s="50">
        <f t="shared" si="14"/>
        <v>0</v>
      </c>
    </row>
    <row r="417" spans="1:6" s="5" customFormat="1" x14ac:dyDescent="0.25">
      <c r="A417" s="19" t="s">
        <v>267</v>
      </c>
      <c r="B417" s="20" t="s">
        <v>272</v>
      </c>
      <c r="C417" s="19" t="s">
        <v>9</v>
      </c>
      <c r="D417" s="45">
        <f>D418+D424+D425</f>
        <v>32</v>
      </c>
      <c r="E417" s="45">
        <f>E418+E424+E425</f>
        <v>32</v>
      </c>
      <c r="F417" s="50">
        <f t="shared" si="14"/>
        <v>0</v>
      </c>
    </row>
    <row r="418" spans="1:6" s="5" customFormat="1" outlineLevel="1" x14ac:dyDescent="0.25">
      <c r="A418" s="17"/>
      <c r="B418" s="211" t="s">
        <v>83</v>
      </c>
      <c r="C418" s="210" t="s">
        <v>9</v>
      </c>
      <c r="D418" s="212">
        <v>15.9</v>
      </c>
      <c r="E418" s="44">
        <f>E419+E420+E421+E422+E423</f>
        <v>15.9</v>
      </c>
      <c r="F418" s="50">
        <f t="shared" si="14"/>
        <v>0</v>
      </c>
    </row>
    <row r="419" spans="1:6" s="5" customFormat="1" outlineLevel="1" x14ac:dyDescent="0.25">
      <c r="A419" s="17"/>
      <c r="B419" s="211" t="s">
        <v>84</v>
      </c>
      <c r="C419" s="210" t="s">
        <v>9</v>
      </c>
      <c r="D419" s="212">
        <v>4</v>
      </c>
      <c r="E419" s="44">
        <v>4</v>
      </c>
      <c r="F419" s="50">
        <f t="shared" si="14"/>
        <v>0</v>
      </c>
    </row>
    <row r="420" spans="1:6" s="5" customFormat="1" outlineLevel="1" x14ac:dyDescent="0.25">
      <c r="A420" s="17"/>
      <c r="B420" s="211" t="s">
        <v>85</v>
      </c>
      <c r="C420" s="210" t="s">
        <v>9</v>
      </c>
      <c r="D420" s="212">
        <v>7.5</v>
      </c>
      <c r="E420" s="44">
        <v>7.5</v>
      </c>
      <c r="F420" s="50">
        <f t="shared" si="14"/>
        <v>0</v>
      </c>
    </row>
    <row r="421" spans="1:6" s="5" customFormat="1" outlineLevel="1" x14ac:dyDescent="0.25">
      <c r="A421" s="17"/>
      <c r="B421" s="211" t="s">
        <v>86</v>
      </c>
      <c r="C421" s="210" t="s">
        <v>9</v>
      </c>
      <c r="D421" s="212">
        <v>3.5</v>
      </c>
      <c r="E421" s="44">
        <v>3.5</v>
      </c>
      <c r="F421" s="50">
        <f t="shared" si="14"/>
        <v>0</v>
      </c>
    </row>
    <row r="422" spans="1:6" s="5" customFormat="1" outlineLevel="1" x14ac:dyDescent="0.25">
      <c r="A422" s="17"/>
      <c r="B422" s="211" t="s">
        <v>87</v>
      </c>
      <c r="C422" s="210" t="s">
        <v>9</v>
      </c>
      <c r="D422" s="212">
        <v>0.4</v>
      </c>
      <c r="E422" s="44">
        <v>0.4</v>
      </c>
      <c r="F422" s="50">
        <f t="shared" si="14"/>
        <v>0</v>
      </c>
    </row>
    <row r="423" spans="1:6" s="5" customFormat="1" outlineLevel="1" x14ac:dyDescent="0.25">
      <c r="A423" s="17"/>
      <c r="B423" s="211" t="s">
        <v>88</v>
      </c>
      <c r="C423" s="210" t="s">
        <v>9</v>
      </c>
      <c r="D423" s="212">
        <v>0.5</v>
      </c>
      <c r="E423" s="44">
        <v>0.5</v>
      </c>
      <c r="F423" s="50">
        <f t="shared" si="14"/>
        <v>0</v>
      </c>
    </row>
    <row r="424" spans="1:6" s="5" customFormat="1" outlineLevel="1" x14ac:dyDescent="0.25">
      <c r="A424" s="17"/>
      <c r="B424" s="211" t="s">
        <v>89</v>
      </c>
      <c r="C424" s="210" t="s">
        <v>9</v>
      </c>
      <c r="D424" s="212">
        <v>12.6</v>
      </c>
      <c r="E424" s="44">
        <v>12.6</v>
      </c>
      <c r="F424" s="50">
        <f t="shared" si="14"/>
        <v>0</v>
      </c>
    </row>
    <row r="425" spans="1:6" s="5" customFormat="1" outlineLevel="1" x14ac:dyDescent="0.25">
      <c r="A425" s="17"/>
      <c r="B425" s="211" t="s">
        <v>90</v>
      </c>
      <c r="C425" s="210" t="s">
        <v>9</v>
      </c>
      <c r="D425" s="212">
        <v>3.5</v>
      </c>
      <c r="E425" s="44">
        <v>3.5</v>
      </c>
      <c r="F425" s="50">
        <f t="shared" si="14"/>
        <v>0</v>
      </c>
    </row>
    <row r="426" spans="1:6" s="5" customFormat="1" x14ac:dyDescent="0.25">
      <c r="A426" s="19" t="s">
        <v>268</v>
      </c>
      <c r="B426" s="20" t="s">
        <v>274</v>
      </c>
      <c r="C426" s="19" t="s">
        <v>9</v>
      </c>
      <c r="D426" s="45">
        <f>D427</f>
        <v>9.3000000000000007</v>
      </c>
      <c r="E426" s="45">
        <f>E427</f>
        <v>9.3000000000000007</v>
      </c>
      <c r="F426" s="50">
        <f t="shared" si="14"/>
        <v>0</v>
      </c>
    </row>
    <row r="427" spans="1:6" s="5" customFormat="1" outlineLevel="1" x14ac:dyDescent="0.25">
      <c r="A427" s="17"/>
      <c r="B427" s="211" t="s">
        <v>115</v>
      </c>
      <c r="C427" s="210" t="s">
        <v>9</v>
      </c>
      <c r="D427" s="212">
        <v>9.3000000000000007</v>
      </c>
      <c r="E427" s="44">
        <f>E428+E429+E430+E431+E432+E433+E434+E435+E436+E437</f>
        <v>9.3000000000000007</v>
      </c>
      <c r="F427" s="50">
        <f t="shared" si="14"/>
        <v>0</v>
      </c>
    </row>
    <row r="428" spans="1:6" s="5" customFormat="1" outlineLevel="1" x14ac:dyDescent="0.25">
      <c r="A428" s="17"/>
      <c r="B428" s="211" t="s">
        <v>92</v>
      </c>
      <c r="C428" s="210" t="s">
        <v>9</v>
      </c>
      <c r="D428" s="212">
        <v>1.7</v>
      </c>
      <c r="E428" s="44">
        <v>1.7</v>
      </c>
      <c r="F428" s="50">
        <f t="shared" ref="F428:F504" si="17">E428-D428</f>
        <v>0</v>
      </c>
    </row>
    <row r="429" spans="1:6" s="5" customFormat="1" outlineLevel="1" x14ac:dyDescent="0.25">
      <c r="A429" s="17"/>
      <c r="B429" s="211" t="s">
        <v>93</v>
      </c>
      <c r="C429" s="210" t="s">
        <v>9</v>
      </c>
      <c r="D429" s="212">
        <v>0.9</v>
      </c>
      <c r="E429" s="44">
        <v>0.9</v>
      </c>
      <c r="F429" s="50">
        <f t="shared" si="17"/>
        <v>0</v>
      </c>
    </row>
    <row r="430" spans="1:6" s="5" customFormat="1" outlineLevel="1" x14ac:dyDescent="0.25">
      <c r="A430" s="17"/>
      <c r="B430" s="211" t="s">
        <v>94</v>
      </c>
      <c r="C430" s="210" t="s">
        <v>9</v>
      </c>
      <c r="D430" s="212">
        <v>0.3</v>
      </c>
      <c r="E430" s="44">
        <v>0.3</v>
      </c>
      <c r="F430" s="50">
        <f t="shared" si="17"/>
        <v>0</v>
      </c>
    </row>
    <row r="431" spans="1:6" s="5" customFormat="1" outlineLevel="1" x14ac:dyDescent="0.25">
      <c r="A431" s="17"/>
      <c r="B431" s="211" t="s">
        <v>95</v>
      </c>
      <c r="C431" s="210" t="s">
        <v>9</v>
      </c>
      <c r="D431" s="212">
        <v>1.3</v>
      </c>
      <c r="E431" s="44">
        <v>1.3</v>
      </c>
      <c r="F431" s="50">
        <f t="shared" si="17"/>
        <v>0</v>
      </c>
    </row>
    <row r="432" spans="1:6" s="5" customFormat="1" outlineLevel="1" x14ac:dyDescent="0.25">
      <c r="A432" s="17"/>
      <c r="B432" s="211" t="s">
        <v>96</v>
      </c>
      <c r="C432" s="210" t="s">
        <v>9</v>
      </c>
      <c r="D432" s="212">
        <v>0.3</v>
      </c>
      <c r="E432" s="44">
        <v>0.3</v>
      </c>
      <c r="F432" s="50">
        <f t="shared" si="17"/>
        <v>0</v>
      </c>
    </row>
    <row r="433" spans="1:6" s="5" customFormat="1" outlineLevel="1" x14ac:dyDescent="0.25">
      <c r="A433" s="17"/>
      <c r="B433" s="211" t="s">
        <v>97</v>
      </c>
      <c r="C433" s="210" t="s">
        <v>9</v>
      </c>
      <c r="D433" s="212">
        <v>0.2</v>
      </c>
      <c r="E433" s="44">
        <v>0.2</v>
      </c>
      <c r="F433" s="50">
        <f t="shared" si="17"/>
        <v>0</v>
      </c>
    </row>
    <row r="434" spans="1:6" s="5" customFormat="1" outlineLevel="1" x14ac:dyDescent="0.25">
      <c r="A434" s="17"/>
      <c r="B434" s="211" t="s">
        <v>98</v>
      </c>
      <c r="C434" s="210" t="s">
        <v>9</v>
      </c>
      <c r="D434" s="212">
        <v>2.7</v>
      </c>
      <c r="E434" s="44">
        <v>2.7</v>
      </c>
      <c r="F434" s="50">
        <f t="shared" si="17"/>
        <v>0</v>
      </c>
    </row>
    <row r="435" spans="1:6" s="5" customFormat="1" outlineLevel="1" x14ac:dyDescent="0.25">
      <c r="A435" s="17"/>
      <c r="B435" s="211" t="s">
        <v>99</v>
      </c>
      <c r="C435" s="210" t="s">
        <v>9</v>
      </c>
      <c r="D435" s="212">
        <v>1.3</v>
      </c>
      <c r="E435" s="44">
        <v>1.3</v>
      </c>
      <c r="F435" s="50">
        <f t="shared" si="17"/>
        <v>0</v>
      </c>
    </row>
    <row r="436" spans="1:6" s="5" customFormat="1" outlineLevel="1" x14ac:dyDescent="0.25">
      <c r="A436" s="17"/>
      <c r="B436" s="211" t="s">
        <v>100</v>
      </c>
      <c r="C436" s="210" t="s">
        <v>9</v>
      </c>
      <c r="D436" s="212">
        <v>0.5</v>
      </c>
      <c r="E436" s="44">
        <v>0.5</v>
      </c>
      <c r="F436" s="50">
        <f t="shared" si="17"/>
        <v>0</v>
      </c>
    </row>
    <row r="437" spans="1:6" s="5" customFormat="1" outlineLevel="1" x14ac:dyDescent="0.25">
      <c r="A437" s="17"/>
      <c r="B437" s="211" t="s">
        <v>101</v>
      </c>
      <c r="C437" s="210" t="s">
        <v>9</v>
      </c>
      <c r="D437" s="212">
        <v>0.1</v>
      </c>
      <c r="E437" s="44">
        <v>0.1</v>
      </c>
      <c r="F437" s="50">
        <f t="shared" si="17"/>
        <v>0</v>
      </c>
    </row>
    <row r="438" spans="1:6" s="5" customFormat="1" x14ac:dyDescent="0.25">
      <c r="A438" s="19" t="s">
        <v>275</v>
      </c>
      <c r="B438" s="20" t="s">
        <v>276</v>
      </c>
      <c r="C438" s="19" t="s">
        <v>11</v>
      </c>
      <c r="D438" s="45">
        <f>D439</f>
        <v>910</v>
      </c>
      <c r="E438" s="45">
        <f>E439</f>
        <v>910</v>
      </c>
      <c r="F438" s="50">
        <f t="shared" si="17"/>
        <v>0</v>
      </c>
    </row>
    <row r="439" spans="1:6" s="5" customFormat="1" outlineLevel="1" x14ac:dyDescent="0.25">
      <c r="A439" s="17"/>
      <c r="B439" s="211" t="s">
        <v>102</v>
      </c>
      <c r="C439" s="210" t="s">
        <v>11</v>
      </c>
      <c r="D439" s="212">
        <v>910</v>
      </c>
      <c r="E439" s="44">
        <v>910</v>
      </c>
      <c r="F439" s="50">
        <f t="shared" si="17"/>
        <v>0</v>
      </c>
    </row>
    <row r="440" spans="1:6" s="5" customFormat="1" x14ac:dyDescent="0.25">
      <c r="A440" s="19" t="s">
        <v>277</v>
      </c>
      <c r="B440" s="20" t="s">
        <v>278</v>
      </c>
      <c r="C440" s="19" t="s">
        <v>9</v>
      </c>
      <c r="D440" s="45">
        <f>SUM(D441:D450)</f>
        <v>15.120000000000003</v>
      </c>
      <c r="E440" s="45">
        <f>E441+E446</f>
        <v>7.5600000000000005</v>
      </c>
      <c r="F440" s="50">
        <f t="shared" si="17"/>
        <v>-7.5600000000000023</v>
      </c>
    </row>
    <row r="441" spans="1:6" s="5" customFormat="1" outlineLevel="1" x14ac:dyDescent="0.25">
      <c r="A441" s="17"/>
      <c r="B441" s="211" t="s">
        <v>116</v>
      </c>
      <c r="C441" s="210" t="s">
        <v>9</v>
      </c>
      <c r="D441" s="212">
        <v>7.03</v>
      </c>
      <c r="E441" s="44">
        <f>E442+E443+E444+E445+E448+E449+E450</f>
        <v>4.74</v>
      </c>
      <c r="F441" s="50">
        <f t="shared" si="17"/>
        <v>-2.29</v>
      </c>
    </row>
    <row r="442" spans="1:6" s="5" customFormat="1" outlineLevel="1" x14ac:dyDescent="0.25">
      <c r="A442" s="17"/>
      <c r="B442" s="211" t="s">
        <v>117</v>
      </c>
      <c r="C442" s="210" t="s">
        <v>9</v>
      </c>
      <c r="D442" s="212">
        <v>1.27</v>
      </c>
      <c r="E442" s="44">
        <v>1.27</v>
      </c>
      <c r="F442" s="50">
        <f t="shared" si="17"/>
        <v>0</v>
      </c>
    </row>
    <row r="443" spans="1:6" s="5" customFormat="1" outlineLevel="1" x14ac:dyDescent="0.25">
      <c r="A443" s="17"/>
      <c r="B443" s="211" t="s">
        <v>118</v>
      </c>
      <c r="C443" s="210" t="s">
        <v>9</v>
      </c>
      <c r="D443" s="212">
        <v>1.06</v>
      </c>
      <c r="E443" s="44">
        <v>1.06</v>
      </c>
      <c r="F443" s="50">
        <f t="shared" si="17"/>
        <v>0</v>
      </c>
    </row>
    <row r="444" spans="1:6" s="5" customFormat="1" outlineLevel="1" x14ac:dyDescent="0.25">
      <c r="A444" s="17"/>
      <c r="B444" s="211" t="s">
        <v>119</v>
      </c>
      <c r="C444" s="210" t="s">
        <v>9</v>
      </c>
      <c r="D444" s="212">
        <v>1.82</v>
      </c>
      <c r="E444" s="44">
        <v>1.82</v>
      </c>
      <c r="F444" s="50">
        <f t="shared" si="17"/>
        <v>0</v>
      </c>
    </row>
    <row r="445" spans="1:6" s="5" customFormat="1" outlineLevel="1" x14ac:dyDescent="0.25">
      <c r="A445" s="17"/>
      <c r="B445" s="211" t="s">
        <v>120</v>
      </c>
      <c r="C445" s="210" t="s">
        <v>9</v>
      </c>
      <c r="D445" s="212">
        <v>0.06</v>
      </c>
      <c r="E445" s="44">
        <v>0.06</v>
      </c>
      <c r="F445" s="50">
        <f t="shared" si="17"/>
        <v>0</v>
      </c>
    </row>
    <row r="446" spans="1:6" s="5" customFormat="1" outlineLevel="1" x14ac:dyDescent="0.25">
      <c r="A446" s="17"/>
      <c r="B446" s="211" t="s">
        <v>121</v>
      </c>
      <c r="C446" s="210" t="s">
        <v>9</v>
      </c>
      <c r="D446" s="212">
        <v>2.82</v>
      </c>
      <c r="E446" s="44">
        <v>2.82</v>
      </c>
      <c r="F446" s="50">
        <f t="shared" si="17"/>
        <v>0</v>
      </c>
    </row>
    <row r="447" spans="1:6" s="5" customFormat="1" outlineLevel="1" x14ac:dyDescent="0.25">
      <c r="A447" s="17"/>
      <c r="B447" s="211" t="s">
        <v>115</v>
      </c>
      <c r="C447" s="210" t="s">
        <v>9</v>
      </c>
      <c r="D447" s="212">
        <v>0.53</v>
      </c>
      <c r="E447" s="44"/>
      <c r="F447" s="50">
        <f t="shared" si="17"/>
        <v>-0.53</v>
      </c>
    </row>
    <row r="448" spans="1:6" s="5" customFormat="1" outlineLevel="1" x14ac:dyDescent="0.25">
      <c r="A448" s="17"/>
      <c r="B448" s="211" t="s">
        <v>122</v>
      </c>
      <c r="C448" s="210" t="s">
        <v>9</v>
      </c>
      <c r="D448" s="212">
        <v>0.32</v>
      </c>
      <c r="E448" s="44">
        <v>0.32</v>
      </c>
      <c r="F448" s="50">
        <f t="shared" si="17"/>
        <v>0</v>
      </c>
    </row>
    <row r="449" spans="1:6" s="5" customFormat="1" outlineLevel="1" x14ac:dyDescent="0.25">
      <c r="A449" s="17"/>
      <c r="B449" s="211" t="s">
        <v>123</v>
      </c>
      <c r="C449" s="210" t="s">
        <v>9</v>
      </c>
      <c r="D449" s="212">
        <v>0.08</v>
      </c>
      <c r="E449" s="44">
        <v>0.08</v>
      </c>
      <c r="F449" s="50">
        <f t="shared" si="17"/>
        <v>0</v>
      </c>
    </row>
    <row r="450" spans="1:6" s="5" customFormat="1" outlineLevel="1" x14ac:dyDescent="0.25">
      <c r="A450" s="17"/>
      <c r="B450" s="211" t="s">
        <v>124</v>
      </c>
      <c r="C450" s="210" t="s">
        <v>9</v>
      </c>
      <c r="D450" s="212">
        <v>0.13</v>
      </c>
      <c r="E450" s="44">
        <v>0.13</v>
      </c>
      <c r="F450" s="50">
        <f t="shared" si="17"/>
        <v>0</v>
      </c>
    </row>
    <row r="451" spans="1:6" s="5" customFormat="1" x14ac:dyDescent="0.25">
      <c r="A451" s="19" t="s">
        <v>279</v>
      </c>
      <c r="B451" s="20" t="s">
        <v>280</v>
      </c>
      <c r="C451" s="19" t="s">
        <v>11</v>
      </c>
      <c r="D451" s="45">
        <f>D452</f>
        <v>1897.5</v>
      </c>
      <c r="E451" s="45">
        <f>E452</f>
        <v>1525.2</v>
      </c>
      <c r="F451" s="50">
        <f t="shared" si="17"/>
        <v>-372.29999999999995</v>
      </c>
    </row>
    <row r="452" spans="1:6" s="5" customFormat="1" outlineLevel="1" x14ac:dyDescent="0.25">
      <c r="A452" s="17"/>
      <c r="B452" s="211" t="s">
        <v>103</v>
      </c>
      <c r="C452" s="210" t="s">
        <v>11</v>
      </c>
      <c r="D452" s="212">
        <v>1897.5</v>
      </c>
      <c r="E452" s="44">
        <f>E453</f>
        <v>1525.2</v>
      </c>
      <c r="F452" s="50">
        <f t="shared" si="17"/>
        <v>-372.29999999999995</v>
      </c>
    </row>
    <row r="453" spans="1:6" s="5" customFormat="1" outlineLevel="1" x14ac:dyDescent="0.25">
      <c r="A453" s="17"/>
      <c r="B453" s="211" t="s">
        <v>338</v>
      </c>
      <c r="C453" s="210" t="s">
        <v>11</v>
      </c>
      <c r="D453" s="212">
        <v>1525.2</v>
      </c>
      <c r="E453" s="44">
        <v>1525.2</v>
      </c>
      <c r="F453" s="50">
        <f t="shared" si="17"/>
        <v>0</v>
      </c>
    </row>
    <row r="454" spans="1:6" s="4" customFormat="1" ht="15.75" x14ac:dyDescent="0.25">
      <c r="A454" s="206" t="s">
        <v>281</v>
      </c>
      <c r="B454" s="207"/>
      <c r="C454" s="39"/>
      <c r="D454" s="16"/>
      <c r="E454" s="16"/>
      <c r="F454" s="50">
        <f t="shared" si="17"/>
        <v>0</v>
      </c>
    </row>
    <row r="455" spans="1:6" s="4" customFormat="1" ht="15.75" x14ac:dyDescent="0.25">
      <c r="A455" s="16" t="s">
        <v>282</v>
      </c>
      <c r="B455" s="21" t="s">
        <v>284</v>
      </c>
      <c r="C455" s="16" t="s">
        <v>4</v>
      </c>
      <c r="D455" s="43">
        <f>D462</f>
        <v>66.139499999999998</v>
      </c>
      <c r="E455" s="43">
        <f>E462</f>
        <v>66.099999999999994</v>
      </c>
      <c r="F455" s="50">
        <f t="shared" si="17"/>
        <v>-3.9500000000003865E-2</v>
      </c>
    </row>
    <row r="456" spans="1:6" s="5" customFormat="1" outlineLevel="1" x14ac:dyDescent="0.25">
      <c r="A456" s="210"/>
      <c r="B456" s="223" t="s">
        <v>20</v>
      </c>
      <c r="C456" s="210" t="s">
        <v>11</v>
      </c>
      <c r="D456" s="224">
        <v>627.71500000000003</v>
      </c>
      <c r="E456" s="60">
        <f>E457</f>
        <v>97.17</v>
      </c>
      <c r="F456" s="50">
        <f t="shared" si="17"/>
        <v>-530.54500000000007</v>
      </c>
    </row>
    <row r="457" spans="1:6" s="5" customFormat="1" outlineLevel="1" x14ac:dyDescent="0.25">
      <c r="A457" s="54"/>
      <c r="B457" s="55" t="s">
        <v>326</v>
      </c>
      <c r="C457" s="54" t="s">
        <v>11</v>
      </c>
      <c r="D457" s="44"/>
      <c r="E457" s="44">
        <v>97.17</v>
      </c>
      <c r="F457" s="50">
        <f t="shared" si="17"/>
        <v>97.17</v>
      </c>
    </row>
    <row r="458" spans="1:6" s="5" customFormat="1" outlineLevel="1" x14ac:dyDescent="0.25">
      <c r="A458" s="17"/>
      <c r="B458" s="211" t="s">
        <v>125</v>
      </c>
      <c r="C458" s="210" t="s">
        <v>9</v>
      </c>
      <c r="D458" s="224">
        <v>9.75</v>
      </c>
      <c r="E458" s="60">
        <f>E459+E460+E461</f>
        <v>9.75</v>
      </c>
      <c r="F458" s="50">
        <f t="shared" si="17"/>
        <v>0</v>
      </c>
    </row>
    <row r="459" spans="1:6" s="5" customFormat="1" outlineLevel="1" x14ac:dyDescent="0.25">
      <c r="A459" s="17"/>
      <c r="B459" s="211" t="s">
        <v>38</v>
      </c>
      <c r="C459" s="210" t="s">
        <v>9</v>
      </c>
      <c r="D459" s="224">
        <v>0.25</v>
      </c>
      <c r="E459" s="60">
        <v>0.25</v>
      </c>
      <c r="F459" s="50">
        <f t="shared" si="17"/>
        <v>0</v>
      </c>
    </row>
    <row r="460" spans="1:6" s="5" customFormat="1" outlineLevel="1" x14ac:dyDescent="0.25">
      <c r="A460" s="17"/>
      <c r="B460" s="211" t="s">
        <v>39</v>
      </c>
      <c r="C460" s="210" t="s">
        <v>9</v>
      </c>
      <c r="D460" s="224">
        <v>6.5</v>
      </c>
      <c r="E460" s="60">
        <v>6.5</v>
      </c>
      <c r="F460" s="50">
        <f t="shared" si="17"/>
        <v>0</v>
      </c>
    </row>
    <row r="461" spans="1:6" s="5" customFormat="1" outlineLevel="1" x14ac:dyDescent="0.25">
      <c r="A461" s="17"/>
      <c r="B461" s="211" t="s">
        <v>40</v>
      </c>
      <c r="C461" s="210" t="s">
        <v>9</v>
      </c>
      <c r="D461" s="224">
        <v>3</v>
      </c>
      <c r="E461" s="60">
        <v>3</v>
      </c>
      <c r="F461" s="50">
        <f t="shared" si="17"/>
        <v>0</v>
      </c>
    </row>
    <row r="462" spans="1:6" s="5" customFormat="1" outlineLevel="1" x14ac:dyDescent="0.25">
      <c r="A462" s="17"/>
      <c r="B462" s="211" t="s">
        <v>283</v>
      </c>
      <c r="C462" s="210" t="s">
        <v>4</v>
      </c>
      <c r="D462" s="224">
        <v>66.139499999999998</v>
      </c>
      <c r="E462" s="60">
        <v>66.099999999999994</v>
      </c>
      <c r="F462" s="50">
        <f t="shared" si="17"/>
        <v>-3.9500000000003865E-2</v>
      </c>
    </row>
    <row r="463" spans="1:6" s="5" customFormat="1" outlineLevel="1" x14ac:dyDescent="0.25">
      <c r="A463" s="17"/>
      <c r="B463" s="18" t="s">
        <v>319</v>
      </c>
      <c r="C463" s="17" t="s">
        <v>4</v>
      </c>
      <c r="D463" s="60">
        <f>D462*1.02</f>
        <v>67.462289999999996</v>
      </c>
      <c r="E463" s="60">
        <f>E462*1.015</f>
        <v>67.091499999999982</v>
      </c>
      <c r="F463" s="50">
        <f t="shared" si="17"/>
        <v>-0.37079000000001372</v>
      </c>
    </row>
    <row r="464" spans="1:6" s="5" customFormat="1" ht="25.5" x14ac:dyDescent="0.25">
      <c r="A464" s="19" t="s">
        <v>285</v>
      </c>
      <c r="B464" s="26" t="s">
        <v>209</v>
      </c>
      <c r="C464" s="19" t="s">
        <v>11</v>
      </c>
      <c r="D464" s="61">
        <f>D465</f>
        <v>206.304</v>
      </c>
      <c r="E464" s="61">
        <f>E465</f>
        <v>206.3</v>
      </c>
      <c r="F464" s="50">
        <f t="shared" si="17"/>
        <v>-3.9999999999906777E-3</v>
      </c>
    </row>
    <row r="465" spans="1:6" s="5" customFormat="1" outlineLevel="1" x14ac:dyDescent="0.25">
      <c r="A465" s="17"/>
      <c r="B465" s="211" t="s">
        <v>42</v>
      </c>
      <c r="C465" s="210" t="s">
        <v>11</v>
      </c>
      <c r="D465" s="224">
        <v>206.304</v>
      </c>
      <c r="E465" s="60">
        <v>206.3</v>
      </c>
      <c r="F465" s="50">
        <f t="shared" si="17"/>
        <v>-3.9999999999906777E-3</v>
      </c>
    </row>
    <row r="466" spans="1:6" s="5" customFormat="1" outlineLevel="1" x14ac:dyDescent="0.25">
      <c r="A466" s="17"/>
      <c r="B466" s="55" t="s">
        <v>325</v>
      </c>
      <c r="C466" s="54" t="s">
        <v>9</v>
      </c>
      <c r="D466" s="60"/>
      <c r="E466" s="62">
        <v>3.3000000000000002E-2</v>
      </c>
      <c r="F466" s="50">
        <f t="shared" si="17"/>
        <v>3.3000000000000002E-2</v>
      </c>
    </row>
    <row r="467" spans="1:6" s="5" customFormat="1" outlineLevel="1" x14ac:dyDescent="0.25">
      <c r="A467" s="17"/>
      <c r="B467" s="55" t="s">
        <v>317</v>
      </c>
      <c r="C467" s="54" t="s">
        <v>153</v>
      </c>
      <c r="D467" s="60"/>
      <c r="E467" s="60">
        <v>907.72</v>
      </c>
      <c r="F467" s="50">
        <f t="shared" si="17"/>
        <v>907.72</v>
      </c>
    </row>
    <row r="468" spans="1:6" s="5" customFormat="1" outlineLevel="1" x14ac:dyDescent="0.25">
      <c r="A468" s="17"/>
      <c r="B468" s="55" t="s">
        <v>314</v>
      </c>
      <c r="C468" s="54" t="s">
        <v>11</v>
      </c>
      <c r="D468" s="60"/>
      <c r="E468" s="60">
        <v>474.49</v>
      </c>
      <c r="F468" s="50">
        <f t="shared" si="17"/>
        <v>474.49</v>
      </c>
    </row>
    <row r="469" spans="1:6" s="5" customFormat="1" outlineLevel="1" x14ac:dyDescent="0.25">
      <c r="A469" s="17"/>
      <c r="B469" s="211" t="s">
        <v>43</v>
      </c>
      <c r="C469" s="210" t="s">
        <v>11</v>
      </c>
      <c r="D469" s="224">
        <v>206.304</v>
      </c>
      <c r="E469" s="60">
        <v>206.3</v>
      </c>
      <c r="F469" s="50">
        <f t="shared" si="17"/>
        <v>-3.9999999999906777E-3</v>
      </c>
    </row>
    <row r="470" spans="1:6" s="5" customFormat="1" outlineLevel="1" x14ac:dyDescent="0.25">
      <c r="A470" s="17"/>
      <c r="B470" s="58" t="s">
        <v>329</v>
      </c>
      <c r="C470" s="57" t="s">
        <v>4</v>
      </c>
      <c r="D470" s="60"/>
      <c r="E470" s="62">
        <v>20.63</v>
      </c>
      <c r="F470" s="50">
        <f t="shared" si="17"/>
        <v>20.63</v>
      </c>
    </row>
    <row r="471" spans="1:6" s="5" customFormat="1" ht="28.5" customHeight="1" outlineLevel="1" x14ac:dyDescent="0.25">
      <c r="A471" s="17"/>
      <c r="B471" s="225" t="s">
        <v>44</v>
      </c>
      <c r="C471" s="210" t="s">
        <v>11</v>
      </c>
      <c r="D471" s="60">
        <v>206.304</v>
      </c>
      <c r="E471" s="60">
        <v>206.3</v>
      </c>
      <c r="F471" s="50">
        <f t="shared" si="17"/>
        <v>-3.9999999999906777E-3</v>
      </c>
    </row>
    <row r="472" spans="1:6" s="5" customFormat="1" outlineLevel="1" x14ac:dyDescent="0.25">
      <c r="A472" s="17"/>
      <c r="B472" s="58" t="s">
        <v>330</v>
      </c>
      <c r="C472" s="57" t="s">
        <v>4</v>
      </c>
      <c r="D472" s="60"/>
      <c r="E472" s="60">
        <v>4.74</v>
      </c>
      <c r="F472" s="50">
        <f t="shared" si="17"/>
        <v>4.74</v>
      </c>
    </row>
    <row r="473" spans="1:6" s="5" customFormat="1" outlineLevel="1" x14ac:dyDescent="0.25">
      <c r="A473" s="17"/>
      <c r="B473" s="58" t="s">
        <v>331</v>
      </c>
      <c r="C473" s="57" t="s">
        <v>332</v>
      </c>
      <c r="D473" s="60"/>
      <c r="E473" s="60">
        <v>10.315</v>
      </c>
      <c r="F473" s="50">
        <f t="shared" si="17"/>
        <v>10.315</v>
      </c>
    </row>
    <row r="474" spans="1:6" s="5" customFormat="1" x14ac:dyDescent="0.25">
      <c r="A474" s="19" t="s">
        <v>286</v>
      </c>
      <c r="B474" s="20" t="s">
        <v>287</v>
      </c>
      <c r="C474" s="19" t="s">
        <v>4</v>
      </c>
      <c r="D474" s="61">
        <f>D480</f>
        <v>7.8680000000000003</v>
      </c>
      <c r="E474" s="61">
        <f>E480</f>
        <v>7.9</v>
      </c>
      <c r="F474" s="50">
        <f t="shared" si="17"/>
        <v>3.2000000000000028E-2</v>
      </c>
    </row>
    <row r="475" spans="1:6" s="5" customFormat="1" outlineLevel="1" x14ac:dyDescent="0.25">
      <c r="A475" s="17"/>
      <c r="B475" s="211" t="s">
        <v>126</v>
      </c>
      <c r="C475" s="210" t="s">
        <v>11</v>
      </c>
      <c r="D475" s="224">
        <v>83.36</v>
      </c>
      <c r="E475" s="60">
        <f>E476</f>
        <v>10.67</v>
      </c>
      <c r="F475" s="50">
        <f t="shared" si="17"/>
        <v>-72.69</v>
      </c>
    </row>
    <row r="476" spans="1:6" s="5" customFormat="1" outlineLevel="1" x14ac:dyDescent="0.25">
      <c r="A476" s="54"/>
      <c r="B476" s="55" t="s">
        <v>326</v>
      </c>
      <c r="C476" s="54" t="s">
        <v>11</v>
      </c>
      <c r="D476" s="44"/>
      <c r="E476" s="44">
        <v>10.67</v>
      </c>
      <c r="F476" s="50">
        <f t="shared" ref="F476" si="18">E476-D476</f>
        <v>10.67</v>
      </c>
    </row>
    <row r="477" spans="1:6" s="5" customFormat="1" outlineLevel="1" x14ac:dyDescent="0.25">
      <c r="A477" s="17"/>
      <c r="B477" s="211" t="s">
        <v>46</v>
      </c>
      <c r="C477" s="210" t="s">
        <v>9</v>
      </c>
      <c r="D477" s="224">
        <v>2.4700000000000002</v>
      </c>
      <c r="E477" s="60">
        <f>E478+E479</f>
        <v>2.4699999999999998</v>
      </c>
      <c r="F477" s="50">
        <f t="shared" si="17"/>
        <v>0</v>
      </c>
    </row>
    <row r="478" spans="1:6" s="5" customFormat="1" outlineLevel="1" x14ac:dyDescent="0.25">
      <c r="A478" s="17"/>
      <c r="B478" s="211" t="s">
        <v>40</v>
      </c>
      <c r="C478" s="210" t="s">
        <v>9</v>
      </c>
      <c r="D478" s="224">
        <v>2.15</v>
      </c>
      <c r="E478" s="60">
        <v>2.15</v>
      </c>
      <c r="F478" s="50">
        <f t="shared" si="17"/>
        <v>0</v>
      </c>
    </row>
    <row r="479" spans="1:6" s="5" customFormat="1" outlineLevel="1" x14ac:dyDescent="0.25">
      <c r="A479" s="17"/>
      <c r="B479" s="211" t="s">
        <v>38</v>
      </c>
      <c r="C479" s="210" t="s">
        <v>9</v>
      </c>
      <c r="D479" s="224">
        <v>0.32</v>
      </c>
      <c r="E479" s="60">
        <v>0.32</v>
      </c>
      <c r="F479" s="50">
        <f t="shared" si="17"/>
        <v>0</v>
      </c>
    </row>
    <row r="480" spans="1:6" s="5" customFormat="1" outlineLevel="1" x14ac:dyDescent="0.25">
      <c r="A480" s="17"/>
      <c r="B480" s="211" t="s">
        <v>72</v>
      </c>
      <c r="C480" s="210" t="s">
        <v>4</v>
      </c>
      <c r="D480" s="224">
        <v>7.8680000000000003</v>
      </c>
      <c r="E480" s="60">
        <v>7.9</v>
      </c>
      <c r="F480" s="50">
        <f t="shared" si="17"/>
        <v>3.2000000000000028E-2</v>
      </c>
    </row>
    <row r="481" spans="1:6" s="5" customFormat="1" outlineLevel="1" x14ac:dyDescent="0.25">
      <c r="A481" s="17"/>
      <c r="B481" s="18" t="s">
        <v>333</v>
      </c>
      <c r="C481" s="17" t="s">
        <v>4</v>
      </c>
      <c r="D481" s="60">
        <f>D480*1.02</f>
        <v>8.0253600000000009</v>
      </c>
      <c r="E481" s="60">
        <f>E480*1.015</f>
        <v>8.0184999999999995</v>
      </c>
      <c r="F481" s="50">
        <f t="shared" si="17"/>
        <v>-6.8600000000014205E-3</v>
      </c>
    </row>
    <row r="482" spans="1:6" s="5" customFormat="1" x14ac:dyDescent="0.25">
      <c r="A482" s="19" t="s">
        <v>289</v>
      </c>
      <c r="B482" s="20" t="s">
        <v>288</v>
      </c>
      <c r="C482" s="19" t="s">
        <v>4</v>
      </c>
      <c r="D482" s="61">
        <f>D491</f>
        <v>71.177499999999995</v>
      </c>
      <c r="E482" s="61">
        <f>E491</f>
        <v>71.2</v>
      </c>
      <c r="F482" s="50">
        <f t="shared" si="17"/>
        <v>2.2500000000007958E-2</v>
      </c>
    </row>
    <row r="483" spans="1:6" s="5" customFormat="1" outlineLevel="1" x14ac:dyDescent="0.25">
      <c r="A483" s="17"/>
      <c r="B483" s="211" t="s">
        <v>50</v>
      </c>
      <c r="C483" s="210" t="s">
        <v>11</v>
      </c>
      <c r="D483" s="224">
        <v>298.61500000000001</v>
      </c>
      <c r="E483" s="60">
        <f>E484</f>
        <v>37.450000000000003</v>
      </c>
      <c r="F483" s="50">
        <f t="shared" si="17"/>
        <v>-261.16500000000002</v>
      </c>
    </row>
    <row r="484" spans="1:6" s="5" customFormat="1" outlineLevel="1" x14ac:dyDescent="0.25">
      <c r="A484" s="54"/>
      <c r="B484" s="55" t="s">
        <v>326</v>
      </c>
      <c r="C484" s="54" t="s">
        <v>11</v>
      </c>
      <c r="D484" s="44"/>
      <c r="E484" s="44">
        <v>37.450000000000003</v>
      </c>
      <c r="F484" s="50">
        <f t="shared" si="17"/>
        <v>37.450000000000003</v>
      </c>
    </row>
    <row r="485" spans="1:6" s="5" customFormat="1" outlineLevel="1" x14ac:dyDescent="0.25">
      <c r="A485" s="54"/>
      <c r="B485" s="55" t="s">
        <v>335</v>
      </c>
      <c r="C485" s="54" t="s">
        <v>135</v>
      </c>
      <c r="D485" s="44"/>
      <c r="E485" s="44">
        <v>1.64</v>
      </c>
      <c r="F485" s="50">
        <f t="shared" si="17"/>
        <v>1.64</v>
      </c>
    </row>
    <row r="486" spans="1:6" s="5" customFormat="1" outlineLevel="1" x14ac:dyDescent="0.25">
      <c r="A486" s="17"/>
      <c r="B486" s="211" t="s">
        <v>51</v>
      </c>
      <c r="C486" s="210" t="s">
        <v>9</v>
      </c>
      <c r="D486" s="224">
        <v>10.6</v>
      </c>
      <c r="E486" s="60">
        <f>E487+E488+E489+E490</f>
        <v>10.77</v>
      </c>
      <c r="F486" s="50">
        <f t="shared" si="17"/>
        <v>0.16999999999999993</v>
      </c>
    </row>
    <row r="487" spans="1:6" s="5" customFormat="1" outlineLevel="1" x14ac:dyDescent="0.25">
      <c r="A487" s="57"/>
      <c r="B487" s="58" t="s">
        <v>337</v>
      </c>
      <c r="C487" s="57" t="s">
        <v>9</v>
      </c>
      <c r="D487" s="44"/>
      <c r="E487" s="44">
        <v>0.17</v>
      </c>
      <c r="F487" s="50"/>
    </row>
    <row r="488" spans="1:6" s="5" customFormat="1" outlineLevel="1" x14ac:dyDescent="0.25">
      <c r="A488" s="17"/>
      <c r="B488" s="211" t="s">
        <v>52</v>
      </c>
      <c r="C488" s="210" t="s">
        <v>9</v>
      </c>
      <c r="D488" s="224">
        <v>7.75</v>
      </c>
      <c r="E488" s="60">
        <v>7.75</v>
      </c>
      <c r="F488" s="50">
        <f t="shared" si="17"/>
        <v>0</v>
      </c>
    </row>
    <row r="489" spans="1:6" s="5" customFormat="1" outlineLevel="1" x14ac:dyDescent="0.25">
      <c r="A489" s="17"/>
      <c r="B489" s="211" t="s">
        <v>53</v>
      </c>
      <c r="C489" s="210" t="s">
        <v>9</v>
      </c>
      <c r="D489" s="224">
        <v>2.1</v>
      </c>
      <c r="E489" s="60">
        <v>2.1</v>
      </c>
      <c r="F489" s="50">
        <f t="shared" si="17"/>
        <v>0</v>
      </c>
    </row>
    <row r="490" spans="1:6" s="5" customFormat="1" outlineLevel="1" x14ac:dyDescent="0.25">
      <c r="A490" s="17"/>
      <c r="B490" s="211" t="s">
        <v>38</v>
      </c>
      <c r="C490" s="210" t="s">
        <v>9</v>
      </c>
      <c r="D490" s="224">
        <v>0.75</v>
      </c>
      <c r="E490" s="60">
        <v>0.75</v>
      </c>
      <c r="F490" s="50">
        <f t="shared" si="17"/>
        <v>0</v>
      </c>
    </row>
    <row r="491" spans="1:6" s="5" customFormat="1" outlineLevel="1" x14ac:dyDescent="0.25">
      <c r="A491" s="17"/>
      <c r="B491" s="211" t="s">
        <v>54</v>
      </c>
      <c r="C491" s="210" t="s">
        <v>4</v>
      </c>
      <c r="D491" s="224">
        <v>71.177499999999995</v>
      </c>
      <c r="E491" s="60">
        <v>71.2</v>
      </c>
      <c r="F491" s="50">
        <f t="shared" si="17"/>
        <v>2.2500000000007958E-2</v>
      </c>
    </row>
    <row r="492" spans="1:6" s="5" customFormat="1" outlineLevel="1" x14ac:dyDescent="0.25">
      <c r="A492" s="17"/>
      <c r="B492" s="18" t="s">
        <v>333</v>
      </c>
      <c r="C492" s="17" t="s">
        <v>4</v>
      </c>
      <c r="D492" s="60">
        <f>D491*1.02</f>
        <v>72.601050000000001</v>
      </c>
      <c r="E492" s="60">
        <f>E491*1.015</f>
        <v>72.268000000000001</v>
      </c>
      <c r="F492" s="50">
        <f t="shared" si="17"/>
        <v>-0.33305000000000007</v>
      </c>
    </row>
    <row r="493" spans="1:6" s="5" customFormat="1" x14ac:dyDescent="0.25">
      <c r="A493" s="19" t="s">
        <v>292</v>
      </c>
      <c r="B493" s="20" t="s">
        <v>290</v>
      </c>
      <c r="C493" s="19" t="s">
        <v>4</v>
      </c>
      <c r="D493" s="61">
        <f>D499</f>
        <v>10.044</v>
      </c>
      <c r="E493" s="61">
        <f>E499</f>
        <v>10</v>
      </c>
      <c r="F493" s="50">
        <f t="shared" si="17"/>
        <v>-4.4000000000000483E-2</v>
      </c>
    </row>
    <row r="494" spans="1:6" s="5" customFormat="1" outlineLevel="1" x14ac:dyDescent="0.25">
      <c r="A494" s="17"/>
      <c r="B494" s="211" t="s">
        <v>55</v>
      </c>
      <c r="C494" s="210" t="s">
        <v>11</v>
      </c>
      <c r="D494" s="224">
        <v>50.85</v>
      </c>
      <c r="E494" s="60">
        <f>E495</f>
        <v>14.42</v>
      </c>
      <c r="F494" s="50">
        <f t="shared" si="17"/>
        <v>-36.43</v>
      </c>
    </row>
    <row r="495" spans="1:6" s="5" customFormat="1" outlineLevel="1" x14ac:dyDescent="0.25">
      <c r="A495" s="54"/>
      <c r="B495" s="55" t="s">
        <v>326</v>
      </c>
      <c r="C495" s="54" t="s">
        <v>11</v>
      </c>
      <c r="D495" s="44"/>
      <c r="E495" s="44">
        <v>14.42</v>
      </c>
      <c r="F495" s="50">
        <f t="shared" ref="F495" si="19">E495-D495</f>
        <v>14.42</v>
      </c>
    </row>
    <row r="496" spans="1:6" s="5" customFormat="1" outlineLevel="1" x14ac:dyDescent="0.25">
      <c r="A496" s="17"/>
      <c r="B496" s="211" t="s">
        <v>56</v>
      </c>
      <c r="C496" s="210" t="s">
        <v>9</v>
      </c>
      <c r="D496" s="224">
        <v>1.7</v>
      </c>
      <c r="E496" s="60">
        <f>E497+E498</f>
        <v>1.7</v>
      </c>
      <c r="F496" s="50">
        <f t="shared" si="17"/>
        <v>0</v>
      </c>
    </row>
    <row r="497" spans="1:6" s="5" customFormat="1" outlineLevel="1" x14ac:dyDescent="0.25">
      <c r="A497" s="17"/>
      <c r="B497" s="211" t="s">
        <v>39</v>
      </c>
      <c r="C497" s="210" t="s">
        <v>9</v>
      </c>
      <c r="D497" s="224">
        <v>1.5</v>
      </c>
      <c r="E497" s="60">
        <v>1.5</v>
      </c>
      <c r="F497" s="50">
        <f t="shared" si="17"/>
        <v>0</v>
      </c>
    </row>
    <row r="498" spans="1:6" s="5" customFormat="1" outlineLevel="1" x14ac:dyDescent="0.25">
      <c r="A498" s="17"/>
      <c r="B498" s="211" t="s">
        <v>38</v>
      </c>
      <c r="C498" s="210" t="s">
        <v>9</v>
      </c>
      <c r="D498" s="224">
        <v>0.2</v>
      </c>
      <c r="E498" s="60">
        <v>0.2</v>
      </c>
      <c r="F498" s="50">
        <f t="shared" si="17"/>
        <v>0</v>
      </c>
    </row>
    <row r="499" spans="1:6" s="5" customFormat="1" outlineLevel="1" x14ac:dyDescent="0.25">
      <c r="A499" s="17"/>
      <c r="B499" s="211" t="s">
        <v>57</v>
      </c>
      <c r="C499" s="210" t="s">
        <v>4</v>
      </c>
      <c r="D499" s="224">
        <v>10.044</v>
      </c>
      <c r="E499" s="60">
        <v>10</v>
      </c>
      <c r="F499" s="50">
        <f t="shared" si="17"/>
        <v>-4.4000000000000483E-2</v>
      </c>
    </row>
    <row r="500" spans="1:6" s="5" customFormat="1" outlineLevel="1" x14ac:dyDescent="0.25">
      <c r="A500" s="17"/>
      <c r="B500" s="18" t="s">
        <v>333</v>
      </c>
      <c r="C500" s="17" t="s">
        <v>4</v>
      </c>
      <c r="D500" s="60">
        <f>D499*1.02</f>
        <v>10.24488</v>
      </c>
      <c r="E500" s="60">
        <f>E499*1.015</f>
        <v>10.149999999999999</v>
      </c>
      <c r="F500" s="50">
        <f t="shared" si="17"/>
        <v>-9.488000000000163E-2</v>
      </c>
    </row>
    <row r="501" spans="1:6" s="5" customFormat="1" x14ac:dyDescent="0.25">
      <c r="A501" s="19" t="s">
        <v>339</v>
      </c>
      <c r="B501" s="20" t="s">
        <v>291</v>
      </c>
      <c r="C501" s="19" t="s">
        <v>4</v>
      </c>
      <c r="D501" s="61">
        <f>D507</f>
        <v>2.0625</v>
      </c>
      <c r="E501" s="61">
        <f>E507</f>
        <v>2.1</v>
      </c>
      <c r="F501" s="50">
        <f t="shared" si="17"/>
        <v>3.7500000000000089E-2</v>
      </c>
    </row>
    <row r="502" spans="1:6" s="5" customFormat="1" outlineLevel="1" x14ac:dyDescent="0.25">
      <c r="A502" s="17"/>
      <c r="B502" s="211" t="s">
        <v>58</v>
      </c>
      <c r="C502" s="210" t="s">
        <v>11</v>
      </c>
      <c r="D502" s="224">
        <v>8.25</v>
      </c>
      <c r="E502" s="60">
        <f>E503</f>
        <v>0.08</v>
      </c>
      <c r="F502" s="50">
        <f t="shared" si="17"/>
        <v>-8.17</v>
      </c>
    </row>
    <row r="503" spans="1:6" s="5" customFormat="1" outlineLevel="1" x14ac:dyDescent="0.25">
      <c r="A503" s="54"/>
      <c r="B503" s="55" t="s">
        <v>326</v>
      </c>
      <c r="C503" s="54" t="s">
        <v>11</v>
      </c>
      <c r="D503" s="44"/>
      <c r="E503" s="44">
        <v>0.08</v>
      </c>
      <c r="F503" s="50">
        <f t="shared" si="17"/>
        <v>0.08</v>
      </c>
    </row>
    <row r="504" spans="1:6" s="5" customFormat="1" outlineLevel="1" x14ac:dyDescent="0.25">
      <c r="A504" s="17"/>
      <c r="B504" s="211" t="s">
        <v>73</v>
      </c>
      <c r="C504" s="210" t="s">
        <v>9</v>
      </c>
      <c r="D504" s="224">
        <v>0.23499999999999999</v>
      </c>
      <c r="E504" s="60">
        <f>E505+E506</f>
        <v>0.23499999999999999</v>
      </c>
      <c r="F504" s="50">
        <f t="shared" si="17"/>
        <v>0</v>
      </c>
    </row>
    <row r="505" spans="1:6" s="5" customFormat="1" outlineLevel="1" x14ac:dyDescent="0.25">
      <c r="A505" s="17"/>
      <c r="B505" s="211" t="s">
        <v>39</v>
      </c>
      <c r="C505" s="210" t="s">
        <v>9</v>
      </c>
      <c r="D505" s="224">
        <v>0.22</v>
      </c>
      <c r="E505" s="60">
        <v>0.22</v>
      </c>
      <c r="F505" s="50">
        <f t="shared" ref="F505:F513" si="20">E505-D505</f>
        <v>0</v>
      </c>
    </row>
    <row r="506" spans="1:6" s="5" customFormat="1" outlineLevel="1" x14ac:dyDescent="0.25">
      <c r="A506" s="17"/>
      <c r="B506" s="211" t="s">
        <v>38</v>
      </c>
      <c r="C506" s="210" t="s">
        <v>9</v>
      </c>
      <c r="D506" s="224">
        <v>1.4999999999999999E-2</v>
      </c>
      <c r="E506" s="60">
        <v>1.4999999999999999E-2</v>
      </c>
      <c r="F506" s="50">
        <f t="shared" si="20"/>
        <v>0</v>
      </c>
    </row>
    <row r="507" spans="1:6" s="5" customFormat="1" outlineLevel="1" x14ac:dyDescent="0.25">
      <c r="A507" s="17"/>
      <c r="B507" s="211" t="s">
        <v>60</v>
      </c>
      <c r="C507" s="210" t="s">
        <v>4</v>
      </c>
      <c r="D507" s="224">
        <v>2.0625</v>
      </c>
      <c r="E507" s="60">
        <v>2.1</v>
      </c>
      <c r="F507" s="50">
        <f t="shared" si="20"/>
        <v>3.7500000000000089E-2</v>
      </c>
    </row>
    <row r="508" spans="1:6" s="5" customFormat="1" outlineLevel="1" x14ac:dyDescent="0.25">
      <c r="A508" s="17"/>
      <c r="B508" s="18" t="s">
        <v>333</v>
      </c>
      <c r="C508" s="17" t="s">
        <v>4</v>
      </c>
      <c r="D508" s="60">
        <f>D507*1.02</f>
        <v>2.1037500000000002</v>
      </c>
      <c r="E508" s="60">
        <f>E507*1.015</f>
        <v>2.1315</v>
      </c>
      <c r="F508" s="50">
        <f t="shared" si="20"/>
        <v>2.7749999999999719E-2</v>
      </c>
    </row>
    <row r="509" spans="1:6" x14ac:dyDescent="0.25">
      <c r="A509" s="206" t="s">
        <v>293</v>
      </c>
      <c r="B509" s="207"/>
      <c r="C509" s="40"/>
      <c r="D509" s="28"/>
      <c r="E509" s="28"/>
      <c r="F509" s="50">
        <f t="shared" si="20"/>
        <v>0</v>
      </c>
    </row>
    <row r="510" spans="1:6" s="67" customFormat="1" ht="30.75" customHeight="1" x14ac:dyDescent="0.2">
      <c r="A510" s="27" t="s">
        <v>294</v>
      </c>
      <c r="B510" s="66" t="s">
        <v>306</v>
      </c>
      <c r="C510" s="27" t="s">
        <v>4</v>
      </c>
      <c r="D510" s="28">
        <f>D511</f>
        <v>66.936999999999998</v>
      </c>
      <c r="E510" s="61"/>
      <c r="F510" s="50">
        <f t="shared" si="20"/>
        <v>-66.936999999999998</v>
      </c>
    </row>
    <row r="511" spans="1:6" s="67" customFormat="1" ht="18" customHeight="1" outlineLevel="1" x14ac:dyDescent="0.2">
      <c r="A511" s="13">
        <v>295</v>
      </c>
      <c r="B511" s="29" t="s">
        <v>170</v>
      </c>
      <c r="C511" s="30" t="s">
        <v>4</v>
      </c>
      <c r="D511" s="38">
        <v>66.936999999999998</v>
      </c>
      <c r="E511" s="60"/>
      <c r="F511" s="50">
        <f t="shared" si="20"/>
        <v>-66.936999999999998</v>
      </c>
    </row>
    <row r="512" spans="1:6" s="67" customFormat="1" outlineLevel="1" x14ac:dyDescent="0.2">
      <c r="A512" s="13">
        <v>296</v>
      </c>
      <c r="B512" s="31" t="s">
        <v>137</v>
      </c>
      <c r="C512" s="32" t="s">
        <v>135</v>
      </c>
      <c r="D512" s="37">
        <v>42</v>
      </c>
      <c r="E512" s="44"/>
      <c r="F512" s="50">
        <f t="shared" si="20"/>
        <v>-42</v>
      </c>
    </row>
    <row r="513" spans="1:6" s="67" customFormat="1" outlineLevel="1" x14ac:dyDescent="0.2">
      <c r="A513" s="13">
        <v>297</v>
      </c>
      <c r="B513" s="31" t="s">
        <v>138</v>
      </c>
      <c r="C513" s="32" t="s">
        <v>135</v>
      </c>
      <c r="D513" s="37">
        <v>3</v>
      </c>
      <c r="E513" s="60"/>
      <c r="F513" s="50">
        <f t="shared" si="20"/>
        <v>-3</v>
      </c>
    </row>
    <row r="514" spans="1:6" s="67" customFormat="1" outlineLevel="1" x14ac:dyDescent="0.2">
      <c r="A514" s="13">
        <v>298</v>
      </c>
      <c r="B514" s="31" t="s">
        <v>139</v>
      </c>
      <c r="C514" s="32" t="s">
        <v>135</v>
      </c>
      <c r="D514" s="37">
        <v>1</v>
      </c>
      <c r="E514" s="60"/>
      <c r="F514" s="50">
        <f t="shared" ref="F514:F530" si="21">E514-D514</f>
        <v>-1</v>
      </c>
    </row>
    <row r="515" spans="1:6" s="67" customFormat="1" outlineLevel="1" x14ac:dyDescent="0.2">
      <c r="A515" s="13">
        <v>299</v>
      </c>
      <c r="B515" s="31" t="s">
        <v>140</v>
      </c>
      <c r="C515" s="32" t="s">
        <v>135</v>
      </c>
      <c r="D515" s="37">
        <v>3</v>
      </c>
      <c r="E515" s="60"/>
      <c r="F515" s="50">
        <f t="shared" si="21"/>
        <v>-3</v>
      </c>
    </row>
    <row r="516" spans="1:6" s="67" customFormat="1" outlineLevel="1" x14ac:dyDescent="0.2">
      <c r="A516" s="13">
        <v>300</v>
      </c>
      <c r="B516" s="31" t="s">
        <v>141</v>
      </c>
      <c r="C516" s="32" t="s">
        <v>135</v>
      </c>
      <c r="D516" s="37">
        <v>1</v>
      </c>
      <c r="E516" s="60"/>
      <c r="F516" s="50">
        <f t="shared" si="21"/>
        <v>-1</v>
      </c>
    </row>
    <row r="517" spans="1:6" s="67" customFormat="1" outlineLevel="1" x14ac:dyDescent="0.2">
      <c r="A517" s="13">
        <v>301</v>
      </c>
      <c r="B517" s="31" t="s">
        <v>142</v>
      </c>
      <c r="C517" s="32" t="s">
        <v>135</v>
      </c>
      <c r="D517" s="37">
        <v>4</v>
      </c>
      <c r="E517" s="60"/>
      <c r="F517" s="50">
        <f t="shared" si="21"/>
        <v>-4</v>
      </c>
    </row>
    <row r="518" spans="1:6" s="67" customFormat="1" outlineLevel="1" x14ac:dyDescent="0.2">
      <c r="A518" s="13">
        <v>302</v>
      </c>
      <c r="B518" s="31" t="s">
        <v>143</v>
      </c>
      <c r="C518" s="32" t="s">
        <v>135</v>
      </c>
      <c r="D518" s="37">
        <v>4</v>
      </c>
      <c r="E518" s="28"/>
      <c r="F518" s="50">
        <f t="shared" si="21"/>
        <v>-4</v>
      </c>
    </row>
    <row r="519" spans="1:6" s="67" customFormat="1" outlineLevel="1" x14ac:dyDescent="0.2">
      <c r="A519" s="13">
        <v>303</v>
      </c>
      <c r="B519" s="31" t="s">
        <v>144</v>
      </c>
      <c r="C519" s="32" t="s">
        <v>135</v>
      </c>
      <c r="D519" s="37">
        <v>9</v>
      </c>
      <c r="E519" s="61"/>
      <c r="F519" s="50">
        <f t="shared" si="21"/>
        <v>-9</v>
      </c>
    </row>
    <row r="520" spans="1:6" s="67" customFormat="1" outlineLevel="1" x14ac:dyDescent="0.2">
      <c r="A520" s="13">
        <v>304</v>
      </c>
      <c r="B520" s="31" t="s">
        <v>145</v>
      </c>
      <c r="C520" s="32" t="s">
        <v>135</v>
      </c>
      <c r="D520" s="37">
        <v>5</v>
      </c>
      <c r="E520" s="60"/>
      <c r="F520" s="50">
        <f t="shared" si="21"/>
        <v>-5</v>
      </c>
    </row>
    <row r="521" spans="1:6" s="67" customFormat="1" outlineLevel="1" x14ac:dyDescent="0.2">
      <c r="A521" s="13">
        <v>305</v>
      </c>
      <c r="B521" s="31" t="s">
        <v>146</v>
      </c>
      <c r="C521" s="32" t="s">
        <v>135</v>
      </c>
      <c r="D521" s="37">
        <v>21</v>
      </c>
      <c r="E521" s="44"/>
      <c r="F521" s="50">
        <f t="shared" si="21"/>
        <v>-21</v>
      </c>
    </row>
    <row r="522" spans="1:6" s="67" customFormat="1" outlineLevel="1" x14ac:dyDescent="0.2">
      <c r="A522" s="13">
        <v>306</v>
      </c>
      <c r="B522" s="31" t="s">
        <v>147</v>
      </c>
      <c r="C522" s="32" t="s">
        <v>135</v>
      </c>
      <c r="D522" s="37">
        <v>1</v>
      </c>
      <c r="E522" s="60"/>
      <c r="F522" s="50">
        <f t="shared" si="21"/>
        <v>-1</v>
      </c>
    </row>
    <row r="523" spans="1:6" s="67" customFormat="1" outlineLevel="1" x14ac:dyDescent="0.2">
      <c r="A523" s="13">
        <v>307</v>
      </c>
      <c r="B523" s="31" t="s">
        <v>148</v>
      </c>
      <c r="C523" s="32" t="s">
        <v>135</v>
      </c>
      <c r="D523" s="37">
        <v>1</v>
      </c>
      <c r="E523" s="60"/>
      <c r="F523" s="50">
        <f t="shared" si="21"/>
        <v>-1</v>
      </c>
    </row>
    <row r="524" spans="1:6" s="67" customFormat="1" outlineLevel="1" x14ac:dyDescent="0.2">
      <c r="A524" s="13">
        <v>308</v>
      </c>
      <c r="B524" s="31" t="s">
        <v>149</v>
      </c>
      <c r="C524" s="32" t="s">
        <v>135</v>
      </c>
      <c r="D524" s="37">
        <v>1</v>
      </c>
      <c r="E524" s="60"/>
      <c r="F524" s="50">
        <f t="shared" si="21"/>
        <v>-1</v>
      </c>
    </row>
    <row r="525" spans="1:6" s="67" customFormat="1" outlineLevel="1" x14ac:dyDescent="0.2">
      <c r="A525" s="13">
        <v>309</v>
      </c>
      <c r="B525" s="31" t="s">
        <v>144</v>
      </c>
      <c r="C525" s="32" t="s">
        <v>135</v>
      </c>
      <c r="D525" s="37">
        <v>9</v>
      </c>
      <c r="E525" s="60"/>
      <c r="F525" s="50">
        <f t="shared" si="21"/>
        <v>-9</v>
      </c>
    </row>
    <row r="526" spans="1:6" s="67" customFormat="1" outlineLevel="1" x14ac:dyDescent="0.2">
      <c r="A526" s="13">
        <v>310</v>
      </c>
      <c r="B526" s="31" t="s">
        <v>145</v>
      </c>
      <c r="C526" s="32" t="s">
        <v>135</v>
      </c>
      <c r="D526" s="37">
        <v>5</v>
      </c>
      <c r="E526" s="60"/>
      <c r="F526" s="50">
        <f t="shared" si="21"/>
        <v>-5</v>
      </c>
    </row>
    <row r="527" spans="1:6" s="67" customFormat="1" outlineLevel="1" x14ac:dyDescent="0.2">
      <c r="A527" s="13">
        <v>311</v>
      </c>
      <c r="B527" s="31" t="s">
        <v>150</v>
      </c>
      <c r="C527" s="32" t="s">
        <v>4</v>
      </c>
      <c r="D527" s="37">
        <f>0.2*D511</f>
        <v>13.3874</v>
      </c>
      <c r="E527" s="28"/>
      <c r="F527" s="50">
        <f t="shared" si="21"/>
        <v>-13.3874</v>
      </c>
    </row>
    <row r="528" spans="1:6" s="67" customFormat="1" x14ac:dyDescent="0.2">
      <c r="A528" s="16" t="s">
        <v>295</v>
      </c>
      <c r="B528" s="33" t="s">
        <v>151</v>
      </c>
      <c r="C528" s="34" t="s">
        <v>4</v>
      </c>
      <c r="D528" s="35">
        <f>D529</f>
        <v>549.74</v>
      </c>
      <c r="E528" s="61"/>
      <c r="F528" s="50">
        <f t="shared" si="21"/>
        <v>-549.74</v>
      </c>
    </row>
    <row r="529" spans="1:6" s="67" customFormat="1" outlineLevel="1" x14ac:dyDescent="0.2">
      <c r="A529" s="13">
        <v>312</v>
      </c>
      <c r="B529" s="36" t="s">
        <v>151</v>
      </c>
      <c r="C529" s="30" t="s">
        <v>4</v>
      </c>
      <c r="D529" s="38">
        <v>549.74</v>
      </c>
      <c r="E529" s="60"/>
      <c r="F529" s="50">
        <f t="shared" si="21"/>
        <v>-549.74</v>
      </c>
    </row>
    <row r="530" spans="1:6" s="67" customFormat="1" outlineLevel="1" x14ac:dyDescent="0.2">
      <c r="A530" s="13">
        <v>313</v>
      </c>
      <c r="B530" s="31" t="s">
        <v>152</v>
      </c>
      <c r="C530" s="32" t="s">
        <v>4</v>
      </c>
      <c r="D530" s="37">
        <f>D529*1.1</f>
        <v>604.71400000000006</v>
      </c>
      <c r="E530" s="44"/>
      <c r="F530" s="50">
        <f t="shared" si="21"/>
        <v>-604.71400000000006</v>
      </c>
    </row>
    <row r="531" spans="1:6" s="67" customFormat="1" ht="15.75" customHeight="1" x14ac:dyDescent="0.2">
      <c r="A531" s="80" t="s">
        <v>296</v>
      </c>
      <c r="B531" s="81" t="s">
        <v>400</v>
      </c>
      <c r="C531" s="82" t="s">
        <v>4</v>
      </c>
      <c r="D531" s="69"/>
      <c r="E531" s="61">
        <f>E532+E540*0.12</f>
        <v>220.91239999999999</v>
      </c>
      <c r="F531" s="50">
        <f t="shared" ref="F531:F684" si="22">E531-D531</f>
        <v>220.91239999999999</v>
      </c>
    </row>
    <row r="532" spans="1:6" s="75" customFormat="1" outlineLevel="1" x14ac:dyDescent="0.2">
      <c r="A532" s="83"/>
      <c r="B532" s="81" t="s">
        <v>355</v>
      </c>
      <c r="C532" s="82" t="s">
        <v>4</v>
      </c>
      <c r="D532" s="69"/>
      <c r="E532" s="61">
        <v>218.48</v>
      </c>
      <c r="F532" s="50">
        <f t="shared" si="22"/>
        <v>218.48</v>
      </c>
    </row>
    <row r="533" spans="1:6" s="76" customFormat="1" outlineLevel="1" x14ac:dyDescent="0.2">
      <c r="A533" s="84"/>
      <c r="B533" s="85" t="s">
        <v>356</v>
      </c>
      <c r="C533" s="86" t="s">
        <v>4</v>
      </c>
      <c r="D533" s="70"/>
      <c r="E533" s="74">
        <v>24.03</v>
      </c>
      <c r="F533" s="50">
        <f t="shared" si="22"/>
        <v>24.03</v>
      </c>
    </row>
    <row r="534" spans="1:6" s="76" customFormat="1" outlineLevel="1" x14ac:dyDescent="0.2">
      <c r="A534" s="84"/>
      <c r="B534" s="85" t="s">
        <v>357</v>
      </c>
      <c r="C534" s="86" t="s">
        <v>4</v>
      </c>
      <c r="D534" s="70"/>
      <c r="E534" s="74">
        <v>201</v>
      </c>
      <c r="F534" s="50">
        <f t="shared" si="22"/>
        <v>201</v>
      </c>
    </row>
    <row r="535" spans="1:6" s="75" customFormat="1" outlineLevel="1" x14ac:dyDescent="0.2">
      <c r="A535" s="83"/>
      <c r="B535" s="81" t="s">
        <v>358</v>
      </c>
      <c r="C535" s="82" t="s">
        <v>9</v>
      </c>
      <c r="D535" s="69"/>
      <c r="E535" s="79">
        <v>0.56999999999999995</v>
      </c>
      <c r="F535" s="50">
        <f t="shared" si="22"/>
        <v>0.56999999999999995</v>
      </c>
    </row>
    <row r="536" spans="1:6" s="76" customFormat="1" outlineLevel="1" x14ac:dyDescent="0.2">
      <c r="A536" s="84"/>
      <c r="B536" s="85" t="s">
        <v>379</v>
      </c>
      <c r="C536" s="68" t="s">
        <v>9</v>
      </c>
      <c r="D536" s="70"/>
      <c r="E536" s="77">
        <v>0.56999999999999995</v>
      </c>
      <c r="F536" s="50">
        <f t="shared" si="22"/>
        <v>0.56999999999999995</v>
      </c>
    </row>
    <row r="537" spans="1:6" s="75" customFormat="1" outlineLevel="1" x14ac:dyDescent="0.2">
      <c r="A537" s="83"/>
      <c r="B537" s="81" t="s">
        <v>376</v>
      </c>
      <c r="C537" s="82" t="s">
        <v>9</v>
      </c>
      <c r="D537" s="69"/>
      <c r="E537" s="79">
        <v>0.42299999999999999</v>
      </c>
      <c r="F537" s="50">
        <f t="shared" si="22"/>
        <v>0.42299999999999999</v>
      </c>
    </row>
    <row r="538" spans="1:6" s="76" customFormat="1" outlineLevel="1" x14ac:dyDescent="0.2">
      <c r="A538" s="84"/>
      <c r="B538" s="85" t="s">
        <v>378</v>
      </c>
      <c r="C538" s="86" t="s">
        <v>360</v>
      </c>
      <c r="D538" s="70"/>
      <c r="E538" s="74">
        <v>221.2</v>
      </c>
      <c r="F538" s="50">
        <f t="shared" si="22"/>
        <v>221.2</v>
      </c>
    </row>
    <row r="539" spans="1:6" s="76" customFormat="1" outlineLevel="1" x14ac:dyDescent="0.2">
      <c r="A539" s="84"/>
      <c r="B539" s="85" t="s">
        <v>359</v>
      </c>
      <c r="C539" s="86" t="s">
        <v>153</v>
      </c>
      <c r="D539" s="70"/>
      <c r="E539" s="74">
        <v>110.6</v>
      </c>
      <c r="F539" s="50">
        <f t="shared" si="22"/>
        <v>110.6</v>
      </c>
    </row>
    <row r="540" spans="1:6" s="75" customFormat="1" ht="25.5" outlineLevel="1" x14ac:dyDescent="0.2">
      <c r="A540" s="83"/>
      <c r="B540" s="81" t="s">
        <v>361</v>
      </c>
      <c r="C540" s="82" t="s">
        <v>11</v>
      </c>
      <c r="D540" s="69"/>
      <c r="E540" s="61">
        <v>20.27</v>
      </c>
      <c r="F540" s="73">
        <f t="shared" si="22"/>
        <v>20.27</v>
      </c>
    </row>
    <row r="541" spans="1:6" s="76" customFormat="1" outlineLevel="1" x14ac:dyDescent="0.2">
      <c r="A541" s="84"/>
      <c r="B541" s="85" t="s">
        <v>356</v>
      </c>
      <c r="C541" s="86" t="s">
        <v>4</v>
      </c>
      <c r="D541" s="70"/>
      <c r="E541" s="77">
        <v>0.46600000000000003</v>
      </c>
      <c r="F541" s="50">
        <f t="shared" si="22"/>
        <v>0.46600000000000003</v>
      </c>
    </row>
    <row r="542" spans="1:6" s="76" customFormat="1" outlineLevel="1" x14ac:dyDescent="0.2">
      <c r="A542" s="84"/>
      <c r="B542" s="85" t="s">
        <v>362</v>
      </c>
      <c r="C542" s="86" t="s">
        <v>363</v>
      </c>
      <c r="D542" s="70"/>
      <c r="E542" s="77">
        <v>1.0135000000000001</v>
      </c>
      <c r="F542" s="50">
        <f t="shared" si="22"/>
        <v>1.0135000000000001</v>
      </c>
    </row>
    <row r="543" spans="1:6" s="75" customFormat="1" outlineLevel="1" x14ac:dyDescent="0.2">
      <c r="A543" s="83"/>
      <c r="B543" s="81" t="s">
        <v>377</v>
      </c>
      <c r="C543" s="82" t="s">
        <v>4</v>
      </c>
      <c r="D543" s="69"/>
      <c r="E543" s="61">
        <v>2</v>
      </c>
      <c r="F543" s="73">
        <f t="shared" si="22"/>
        <v>2</v>
      </c>
    </row>
    <row r="544" spans="1:6" s="76" customFormat="1" outlineLevel="1" x14ac:dyDescent="0.2">
      <c r="A544" s="84"/>
      <c r="B544" s="85" t="s">
        <v>364</v>
      </c>
      <c r="C544" s="86" t="s">
        <v>4</v>
      </c>
      <c r="D544" s="70"/>
      <c r="E544" s="74">
        <f>E543*1.015</f>
        <v>2.0299999999999998</v>
      </c>
      <c r="F544" s="50">
        <f t="shared" si="22"/>
        <v>2.0299999999999998</v>
      </c>
    </row>
    <row r="545" spans="1:6" s="76" customFormat="1" outlineLevel="1" x14ac:dyDescent="0.2">
      <c r="A545" s="84"/>
      <c r="B545" s="55" t="s">
        <v>365</v>
      </c>
      <c r="C545" s="86" t="s">
        <v>9</v>
      </c>
      <c r="D545" s="70"/>
      <c r="E545" s="78">
        <v>3.2509999999999997E-2</v>
      </c>
      <c r="F545" s="50">
        <f t="shared" si="22"/>
        <v>3.2509999999999997E-2</v>
      </c>
    </row>
    <row r="546" spans="1:6" s="76" customFormat="1" outlineLevel="1" x14ac:dyDescent="0.2">
      <c r="A546" s="84"/>
      <c r="B546" s="55" t="s">
        <v>106</v>
      </c>
      <c r="C546" s="86" t="s">
        <v>9</v>
      </c>
      <c r="D546" s="70"/>
      <c r="E546" s="78">
        <v>3.09E-2</v>
      </c>
      <c r="F546" s="50">
        <f t="shared" si="22"/>
        <v>3.09E-2</v>
      </c>
    </row>
    <row r="547" spans="1:6" s="76" customFormat="1" outlineLevel="1" x14ac:dyDescent="0.2">
      <c r="A547" s="84"/>
      <c r="B547" s="55" t="s">
        <v>52</v>
      </c>
      <c r="C547" s="86" t="s">
        <v>9</v>
      </c>
      <c r="D547" s="70"/>
      <c r="E547" s="78">
        <v>1.374E-2</v>
      </c>
      <c r="F547" s="50">
        <f t="shared" si="22"/>
        <v>1.374E-2</v>
      </c>
    </row>
    <row r="548" spans="1:6" s="76" customFormat="1" outlineLevel="1" x14ac:dyDescent="0.2">
      <c r="A548" s="84"/>
      <c r="B548" s="85" t="s">
        <v>366</v>
      </c>
      <c r="C548" s="86" t="s">
        <v>9</v>
      </c>
      <c r="D548" s="70"/>
      <c r="E548" s="78">
        <v>6.5119999999999997E-2</v>
      </c>
      <c r="F548" s="50">
        <f t="shared" si="22"/>
        <v>6.5119999999999997E-2</v>
      </c>
    </row>
    <row r="549" spans="1:6" s="76" customFormat="1" outlineLevel="1" x14ac:dyDescent="0.2">
      <c r="A549" s="84"/>
      <c r="B549" s="85" t="s">
        <v>367</v>
      </c>
      <c r="C549" s="86" t="s">
        <v>11</v>
      </c>
      <c r="D549" s="70"/>
      <c r="E549" s="74">
        <v>3.66</v>
      </c>
      <c r="F549" s="50">
        <f t="shared" si="22"/>
        <v>3.66</v>
      </c>
    </row>
    <row r="550" spans="1:6" s="75" customFormat="1" ht="25.5" outlineLevel="1" x14ac:dyDescent="0.2">
      <c r="A550" s="83"/>
      <c r="B550" s="81" t="s">
        <v>368</v>
      </c>
      <c r="C550" s="82" t="s">
        <v>4</v>
      </c>
      <c r="D550" s="69"/>
      <c r="E550" s="79">
        <v>2.6509999999999998</v>
      </c>
      <c r="F550" s="73">
        <f t="shared" si="22"/>
        <v>2.6509999999999998</v>
      </c>
    </row>
    <row r="551" spans="1:6" s="76" customFormat="1" ht="25.5" outlineLevel="1" x14ac:dyDescent="0.2">
      <c r="A551" s="84"/>
      <c r="B551" s="85" t="s">
        <v>369</v>
      </c>
      <c r="C551" s="86" t="s">
        <v>4</v>
      </c>
      <c r="D551" s="70"/>
      <c r="E551" s="77">
        <f>E550*0.98</f>
        <v>2.5979799999999997</v>
      </c>
      <c r="F551" s="50">
        <f t="shared" si="22"/>
        <v>2.5979799999999997</v>
      </c>
    </row>
    <row r="552" spans="1:6" s="67" customFormat="1" ht="15.75" customHeight="1" x14ac:dyDescent="0.2">
      <c r="A552" s="80" t="s">
        <v>297</v>
      </c>
      <c r="B552" s="81" t="s">
        <v>401</v>
      </c>
      <c r="C552" s="82" t="s">
        <v>11</v>
      </c>
      <c r="D552" s="69"/>
      <c r="E552" s="61">
        <f>E553+E556</f>
        <v>74.37</v>
      </c>
      <c r="F552" s="50">
        <f t="shared" ref="F552:F562" si="23">E552-D552</f>
        <v>74.37</v>
      </c>
    </row>
    <row r="553" spans="1:6" s="75" customFormat="1" ht="25.5" outlineLevel="1" x14ac:dyDescent="0.2">
      <c r="A553" s="83"/>
      <c r="B553" s="81" t="s">
        <v>370</v>
      </c>
      <c r="C553" s="82" t="s">
        <v>11</v>
      </c>
      <c r="D553" s="69"/>
      <c r="E553" s="61">
        <v>52.26</v>
      </c>
      <c r="F553" s="73">
        <f t="shared" si="23"/>
        <v>52.26</v>
      </c>
    </row>
    <row r="554" spans="1:6" s="76" customFormat="1" outlineLevel="1" x14ac:dyDescent="0.2">
      <c r="A554" s="84"/>
      <c r="B554" s="85" t="s">
        <v>371</v>
      </c>
      <c r="C554" s="86" t="s">
        <v>11</v>
      </c>
      <c r="D554" s="70"/>
      <c r="E554" s="74">
        <f>E553*4.49</f>
        <v>234.6474</v>
      </c>
      <c r="F554" s="50">
        <f t="shared" si="23"/>
        <v>234.6474</v>
      </c>
    </row>
    <row r="555" spans="1:6" s="76" customFormat="1" ht="25.5" outlineLevel="1" x14ac:dyDescent="0.2">
      <c r="A555" s="84"/>
      <c r="B555" s="85" t="s">
        <v>372</v>
      </c>
      <c r="C555" s="86" t="s">
        <v>4</v>
      </c>
      <c r="D555" s="70"/>
      <c r="E555" s="74">
        <f>E553*0.103</f>
        <v>5.3827799999999995</v>
      </c>
      <c r="F555" s="50">
        <f t="shared" si="23"/>
        <v>5.3827799999999995</v>
      </c>
    </row>
    <row r="556" spans="1:6" s="75" customFormat="1" ht="27" customHeight="1" outlineLevel="1" x14ac:dyDescent="0.2">
      <c r="A556" s="83"/>
      <c r="B556" s="81" t="s">
        <v>373</v>
      </c>
      <c r="C556" s="82" t="s">
        <v>11</v>
      </c>
      <c r="D556" s="69"/>
      <c r="E556" s="61">
        <v>22.11</v>
      </c>
      <c r="F556" s="73">
        <f t="shared" si="23"/>
        <v>22.11</v>
      </c>
    </row>
    <row r="557" spans="1:6" s="67" customFormat="1" outlineLevel="1" x14ac:dyDescent="0.2">
      <c r="A557" s="53"/>
      <c r="B557" s="85" t="s">
        <v>371</v>
      </c>
      <c r="C557" s="86" t="s">
        <v>11</v>
      </c>
      <c r="D557" s="70"/>
      <c r="E557" s="60">
        <f>E556*4.28</f>
        <v>94.630800000000008</v>
      </c>
      <c r="F557" s="50">
        <f t="shared" si="23"/>
        <v>94.630800000000008</v>
      </c>
    </row>
    <row r="558" spans="1:6" s="67" customFormat="1" ht="25.5" outlineLevel="1" x14ac:dyDescent="0.2">
      <c r="A558" s="53"/>
      <c r="B558" s="85" t="s">
        <v>372</v>
      </c>
      <c r="C558" s="86" t="s">
        <v>4</v>
      </c>
      <c r="D558" s="70"/>
      <c r="E558" s="60">
        <f>E556*0.103</f>
        <v>2.2773299999999996</v>
      </c>
      <c r="F558" s="50">
        <f t="shared" si="23"/>
        <v>2.2773299999999996</v>
      </c>
    </row>
    <row r="559" spans="1:6" s="75" customFormat="1" ht="25.5" outlineLevel="1" x14ac:dyDescent="0.2">
      <c r="A559" s="93"/>
      <c r="B559" s="94" t="s">
        <v>374</v>
      </c>
      <c r="C559" s="95" t="s">
        <v>11</v>
      </c>
      <c r="D559" s="96"/>
      <c r="E559" s="97">
        <v>70.22</v>
      </c>
      <c r="F559" s="73">
        <f t="shared" si="23"/>
        <v>70.22</v>
      </c>
    </row>
    <row r="560" spans="1:6" s="67" customFormat="1" outlineLevel="1" x14ac:dyDescent="0.2">
      <c r="A560" s="98"/>
      <c r="B560" s="99" t="s">
        <v>371</v>
      </c>
      <c r="C560" s="100" t="s">
        <v>11</v>
      </c>
      <c r="D560" s="101"/>
      <c r="E560" s="102">
        <f>E559*2.25</f>
        <v>157.995</v>
      </c>
      <c r="F560" s="50">
        <f t="shared" si="23"/>
        <v>157.995</v>
      </c>
    </row>
    <row r="561" spans="1:6" s="75" customFormat="1" ht="25.5" outlineLevel="1" x14ac:dyDescent="0.2">
      <c r="A561" s="93"/>
      <c r="B561" s="94" t="s">
        <v>375</v>
      </c>
      <c r="C561" s="95" t="s">
        <v>4</v>
      </c>
      <c r="D561" s="96"/>
      <c r="E561" s="103">
        <v>3.5110000000000001</v>
      </c>
      <c r="F561" s="73">
        <f t="shared" si="23"/>
        <v>3.5110000000000001</v>
      </c>
    </row>
    <row r="562" spans="1:6" s="67" customFormat="1" ht="25.5" outlineLevel="1" x14ac:dyDescent="0.2">
      <c r="A562" s="98"/>
      <c r="B562" s="99" t="s">
        <v>372</v>
      </c>
      <c r="C562" s="100" t="s">
        <v>4</v>
      </c>
      <c r="D562" s="101"/>
      <c r="E562" s="102">
        <f>E561*0.97</f>
        <v>3.4056700000000002</v>
      </c>
      <c r="F562" s="50">
        <f t="shared" si="23"/>
        <v>3.4056700000000002</v>
      </c>
    </row>
    <row r="563" spans="1:6" s="67" customFormat="1" ht="15.75" customHeight="1" x14ac:dyDescent="0.2">
      <c r="A563" s="80" t="s">
        <v>298</v>
      </c>
      <c r="B563" s="81" t="s">
        <v>402</v>
      </c>
      <c r="C563" s="82" t="s">
        <v>4</v>
      </c>
      <c r="D563" s="69"/>
      <c r="E563" s="61">
        <f>E564</f>
        <v>623.69000000000005</v>
      </c>
      <c r="F563" s="50">
        <f t="shared" ref="F563:F604" si="24">E563-D563</f>
        <v>623.69000000000005</v>
      </c>
    </row>
    <row r="564" spans="1:6" s="75" customFormat="1" outlineLevel="1" x14ac:dyDescent="0.2">
      <c r="A564" s="83"/>
      <c r="B564" s="81" t="s">
        <v>355</v>
      </c>
      <c r="C564" s="82" t="s">
        <v>4</v>
      </c>
      <c r="D564" s="69"/>
      <c r="E564" s="61">
        <v>623.69000000000005</v>
      </c>
      <c r="F564" s="50">
        <f t="shared" si="24"/>
        <v>623.69000000000005</v>
      </c>
    </row>
    <row r="565" spans="1:6" s="76" customFormat="1" outlineLevel="1" x14ac:dyDescent="0.2">
      <c r="A565" s="84"/>
      <c r="B565" s="85" t="s">
        <v>356</v>
      </c>
      <c r="C565" s="86" t="s">
        <v>4</v>
      </c>
      <c r="D565" s="70"/>
      <c r="E565" s="74">
        <f>E564*0.11</f>
        <v>68.605900000000005</v>
      </c>
      <c r="F565" s="50">
        <f t="shared" si="24"/>
        <v>68.605900000000005</v>
      </c>
    </row>
    <row r="566" spans="1:6" s="76" customFormat="1" outlineLevel="1" x14ac:dyDescent="0.2">
      <c r="A566" s="84"/>
      <c r="B566" s="85" t="s">
        <v>357</v>
      </c>
      <c r="C566" s="86" t="s">
        <v>4</v>
      </c>
      <c r="D566" s="70"/>
      <c r="E566" s="74">
        <f>E564*0.92</f>
        <v>573.79480000000012</v>
      </c>
      <c r="F566" s="50">
        <f t="shared" si="24"/>
        <v>573.79480000000012</v>
      </c>
    </row>
    <row r="567" spans="1:6" s="75" customFormat="1" outlineLevel="1" x14ac:dyDescent="0.2">
      <c r="A567" s="83"/>
      <c r="B567" s="81" t="s">
        <v>358</v>
      </c>
      <c r="C567" s="82" t="s">
        <v>9</v>
      </c>
      <c r="D567" s="69"/>
      <c r="E567" s="79">
        <f>E568</f>
        <v>1.623</v>
      </c>
      <c r="F567" s="50">
        <f t="shared" si="24"/>
        <v>1.623</v>
      </c>
    </row>
    <row r="568" spans="1:6" s="76" customFormat="1" outlineLevel="1" x14ac:dyDescent="0.2">
      <c r="A568" s="84"/>
      <c r="B568" s="85" t="s">
        <v>379</v>
      </c>
      <c r="C568" s="68" t="s">
        <v>9</v>
      </c>
      <c r="D568" s="70"/>
      <c r="E568" s="77">
        <v>1.623</v>
      </c>
      <c r="F568" s="50">
        <f t="shared" si="24"/>
        <v>1.623</v>
      </c>
    </row>
    <row r="569" spans="1:6" s="75" customFormat="1" outlineLevel="1" x14ac:dyDescent="0.2">
      <c r="A569" s="83"/>
      <c r="B569" s="81" t="s">
        <v>376</v>
      </c>
      <c r="C569" s="82" t="s">
        <v>9</v>
      </c>
      <c r="D569" s="69"/>
      <c r="E569" s="79">
        <v>0.94899999999999995</v>
      </c>
      <c r="F569" s="50">
        <f t="shared" si="24"/>
        <v>0.94899999999999995</v>
      </c>
    </row>
    <row r="570" spans="1:6" s="76" customFormat="1" outlineLevel="1" x14ac:dyDescent="0.2">
      <c r="A570" s="84"/>
      <c r="B570" s="85" t="s">
        <v>378</v>
      </c>
      <c r="C570" s="86" t="s">
        <v>360</v>
      </c>
      <c r="D570" s="70"/>
      <c r="E570" s="74">
        <v>497.2</v>
      </c>
      <c r="F570" s="50">
        <f t="shared" si="24"/>
        <v>497.2</v>
      </c>
    </row>
    <row r="571" spans="1:6" s="76" customFormat="1" outlineLevel="1" x14ac:dyDescent="0.2">
      <c r="A571" s="84"/>
      <c r="B571" s="85" t="s">
        <v>359</v>
      </c>
      <c r="C571" s="86" t="s">
        <v>153</v>
      </c>
      <c r="D571" s="70"/>
      <c r="E571" s="74">
        <v>246.8</v>
      </c>
      <c r="F571" s="50">
        <f t="shared" si="24"/>
        <v>246.8</v>
      </c>
    </row>
    <row r="572" spans="1:6" s="75" customFormat="1" outlineLevel="1" x14ac:dyDescent="0.2">
      <c r="A572" s="83"/>
      <c r="B572" s="81" t="s">
        <v>377</v>
      </c>
      <c r="C572" s="82" t="s">
        <v>4</v>
      </c>
      <c r="D572" s="69"/>
      <c r="E572" s="61">
        <v>3.75</v>
      </c>
      <c r="F572" s="73">
        <f t="shared" si="24"/>
        <v>3.75</v>
      </c>
    </row>
    <row r="573" spans="1:6" s="76" customFormat="1" outlineLevel="1" x14ac:dyDescent="0.2">
      <c r="A573" s="84"/>
      <c r="B573" s="85" t="s">
        <v>364</v>
      </c>
      <c r="C573" s="86" t="s">
        <v>4</v>
      </c>
      <c r="D573" s="70"/>
      <c r="E573" s="74">
        <f>E572*1.015</f>
        <v>3.8062499999999995</v>
      </c>
      <c r="F573" s="50">
        <f t="shared" si="24"/>
        <v>3.8062499999999995</v>
      </c>
    </row>
    <row r="574" spans="1:6" s="76" customFormat="1" outlineLevel="1" x14ac:dyDescent="0.2">
      <c r="A574" s="84"/>
      <c r="B574" s="55" t="s">
        <v>365</v>
      </c>
      <c r="C574" s="86" t="s">
        <v>9</v>
      </c>
      <c r="D574" s="70"/>
      <c r="E574" s="78">
        <v>6.1260000000000002E-2</v>
      </c>
      <c r="F574" s="50">
        <f t="shared" si="24"/>
        <v>6.1260000000000002E-2</v>
      </c>
    </row>
    <row r="575" spans="1:6" s="76" customFormat="1" outlineLevel="1" x14ac:dyDescent="0.2">
      <c r="A575" s="84"/>
      <c r="B575" s="55" t="s">
        <v>106</v>
      </c>
      <c r="C575" s="86" t="s">
        <v>9</v>
      </c>
      <c r="D575" s="70"/>
      <c r="E575" s="78">
        <v>6.6420000000000007E-2</v>
      </c>
      <c r="F575" s="50">
        <f t="shared" si="24"/>
        <v>6.6420000000000007E-2</v>
      </c>
    </row>
    <row r="576" spans="1:6" s="76" customFormat="1" outlineLevel="1" x14ac:dyDescent="0.2">
      <c r="A576" s="84"/>
      <c r="B576" s="85" t="s">
        <v>366</v>
      </c>
      <c r="C576" s="86" t="s">
        <v>9</v>
      </c>
      <c r="D576" s="70"/>
      <c r="E576" s="78">
        <v>0.12792999999999999</v>
      </c>
      <c r="F576" s="50">
        <f t="shared" si="24"/>
        <v>0.12792999999999999</v>
      </c>
    </row>
    <row r="577" spans="1:6" s="76" customFormat="1" outlineLevel="1" x14ac:dyDescent="0.2">
      <c r="A577" s="84"/>
      <c r="B577" s="85" t="s">
        <v>367</v>
      </c>
      <c r="C577" s="86" t="s">
        <v>11</v>
      </c>
      <c r="D577" s="70"/>
      <c r="E577" s="74">
        <v>6.86</v>
      </c>
      <c r="F577" s="50">
        <f t="shared" si="24"/>
        <v>6.86</v>
      </c>
    </row>
    <row r="578" spans="1:6" s="75" customFormat="1" ht="25.5" outlineLevel="1" x14ac:dyDescent="0.2">
      <c r="A578" s="83"/>
      <c r="B578" s="81" t="s">
        <v>368</v>
      </c>
      <c r="C578" s="82" t="s">
        <v>4</v>
      </c>
      <c r="D578" s="69"/>
      <c r="E578" s="79">
        <v>5.41</v>
      </c>
      <c r="F578" s="73">
        <f t="shared" si="24"/>
        <v>5.41</v>
      </c>
    </row>
    <row r="579" spans="1:6" s="76" customFormat="1" ht="25.5" outlineLevel="1" x14ac:dyDescent="0.2">
      <c r="A579" s="84"/>
      <c r="B579" s="85" t="s">
        <v>369</v>
      </c>
      <c r="C579" s="86" t="s">
        <v>4</v>
      </c>
      <c r="D579" s="70"/>
      <c r="E579" s="77">
        <f>E578*0.98</f>
        <v>5.3018000000000001</v>
      </c>
      <c r="F579" s="50">
        <f t="shared" si="24"/>
        <v>5.3018000000000001</v>
      </c>
    </row>
    <row r="580" spans="1:6" s="67" customFormat="1" ht="15.75" customHeight="1" x14ac:dyDescent="0.2">
      <c r="A580" s="80" t="s">
        <v>341</v>
      </c>
      <c r="B580" s="81" t="s">
        <v>403</v>
      </c>
      <c r="C580" s="82" t="s">
        <v>11</v>
      </c>
      <c r="D580" s="69"/>
      <c r="E580" s="61">
        <f>E581</f>
        <v>386.11</v>
      </c>
      <c r="F580" s="50">
        <f t="shared" ref="F580:F587" si="25">E580-D580</f>
        <v>386.11</v>
      </c>
    </row>
    <row r="581" spans="1:6" s="75" customFormat="1" ht="25.5" outlineLevel="1" x14ac:dyDescent="0.2">
      <c r="A581" s="83"/>
      <c r="B581" s="81" t="s">
        <v>370</v>
      </c>
      <c r="C581" s="82" t="s">
        <v>11</v>
      </c>
      <c r="D581" s="69"/>
      <c r="E581" s="61">
        <v>386.11</v>
      </c>
      <c r="F581" s="73">
        <f t="shared" si="25"/>
        <v>386.11</v>
      </c>
    </row>
    <row r="582" spans="1:6" s="76" customFormat="1" outlineLevel="1" x14ac:dyDescent="0.2">
      <c r="A582" s="84"/>
      <c r="B582" s="85" t="s">
        <v>371</v>
      </c>
      <c r="C582" s="86" t="s">
        <v>11</v>
      </c>
      <c r="D582" s="70"/>
      <c r="E582" s="74">
        <f>E581*4.49</f>
        <v>1733.6339</v>
      </c>
      <c r="F582" s="50">
        <f t="shared" si="25"/>
        <v>1733.6339</v>
      </c>
    </row>
    <row r="583" spans="1:6" s="76" customFormat="1" ht="25.5" outlineLevel="1" x14ac:dyDescent="0.2">
      <c r="A583" s="84"/>
      <c r="B583" s="85" t="s">
        <v>372</v>
      </c>
      <c r="C583" s="86" t="s">
        <v>4</v>
      </c>
      <c r="D583" s="70"/>
      <c r="E583" s="74">
        <f>E581*0.103</f>
        <v>39.769329999999997</v>
      </c>
      <c r="F583" s="50">
        <f t="shared" si="25"/>
        <v>39.769329999999997</v>
      </c>
    </row>
    <row r="584" spans="1:6" s="75" customFormat="1" ht="25.5" outlineLevel="1" x14ac:dyDescent="0.2">
      <c r="A584" s="93"/>
      <c r="B584" s="94" t="s">
        <v>374</v>
      </c>
      <c r="C584" s="95" t="s">
        <v>11</v>
      </c>
      <c r="D584" s="96"/>
      <c r="E584" s="97">
        <v>496.4</v>
      </c>
      <c r="F584" s="73">
        <f t="shared" si="25"/>
        <v>496.4</v>
      </c>
    </row>
    <row r="585" spans="1:6" s="67" customFormat="1" outlineLevel="1" x14ac:dyDescent="0.2">
      <c r="A585" s="98"/>
      <c r="B585" s="99" t="s">
        <v>371</v>
      </c>
      <c r="C585" s="100" t="s">
        <v>11</v>
      </c>
      <c r="D585" s="101"/>
      <c r="E585" s="102">
        <f>E584*2.25</f>
        <v>1116.8999999999999</v>
      </c>
      <c r="F585" s="50">
        <f t="shared" si="25"/>
        <v>1116.8999999999999</v>
      </c>
    </row>
    <row r="586" spans="1:6" s="75" customFormat="1" ht="25.5" outlineLevel="1" x14ac:dyDescent="0.2">
      <c r="A586" s="93"/>
      <c r="B586" s="94" t="s">
        <v>375</v>
      </c>
      <c r="C586" s="95" t="s">
        <v>4</v>
      </c>
      <c r="D586" s="96"/>
      <c r="E586" s="103">
        <v>49.64</v>
      </c>
      <c r="F586" s="73">
        <f t="shared" si="25"/>
        <v>49.64</v>
      </c>
    </row>
    <row r="587" spans="1:6" s="67" customFormat="1" ht="25.5" outlineLevel="1" x14ac:dyDescent="0.2">
      <c r="A587" s="98"/>
      <c r="B587" s="99" t="s">
        <v>372</v>
      </c>
      <c r="C587" s="100" t="s">
        <v>4</v>
      </c>
      <c r="D587" s="101"/>
      <c r="E587" s="102">
        <f>E586*0.97</f>
        <v>48.150799999999997</v>
      </c>
      <c r="F587" s="50">
        <f t="shared" si="25"/>
        <v>48.150799999999997</v>
      </c>
    </row>
    <row r="588" spans="1:6" s="67" customFormat="1" ht="15.75" customHeight="1" x14ac:dyDescent="0.2">
      <c r="A588" s="80" t="s">
        <v>342</v>
      </c>
      <c r="B588" s="81" t="s">
        <v>404</v>
      </c>
      <c r="C588" s="82" t="s">
        <v>4</v>
      </c>
      <c r="D588" s="69"/>
      <c r="E588" s="61">
        <f>E589</f>
        <v>450.18</v>
      </c>
      <c r="F588" s="50">
        <f t="shared" si="24"/>
        <v>450.18</v>
      </c>
    </row>
    <row r="589" spans="1:6" s="75" customFormat="1" outlineLevel="1" x14ac:dyDescent="0.2">
      <c r="A589" s="83"/>
      <c r="B589" s="81" t="s">
        <v>355</v>
      </c>
      <c r="C589" s="82" t="s">
        <v>4</v>
      </c>
      <c r="D589" s="69"/>
      <c r="E589" s="61">
        <v>450.18</v>
      </c>
      <c r="F589" s="50">
        <f t="shared" si="24"/>
        <v>450.18</v>
      </c>
    </row>
    <row r="590" spans="1:6" s="76" customFormat="1" outlineLevel="1" x14ac:dyDescent="0.2">
      <c r="A590" s="84"/>
      <c r="B590" s="85" t="s">
        <v>356</v>
      </c>
      <c r="C590" s="86" t="s">
        <v>4</v>
      </c>
      <c r="D590" s="70"/>
      <c r="E590" s="74">
        <f>E589*0.11</f>
        <v>49.519800000000004</v>
      </c>
      <c r="F590" s="50">
        <f t="shared" si="24"/>
        <v>49.519800000000004</v>
      </c>
    </row>
    <row r="591" spans="1:6" s="76" customFormat="1" outlineLevel="1" x14ac:dyDescent="0.2">
      <c r="A591" s="84"/>
      <c r="B591" s="85" t="s">
        <v>357</v>
      </c>
      <c r="C591" s="86" t="s">
        <v>4</v>
      </c>
      <c r="D591" s="70"/>
      <c r="E591" s="74">
        <f>E589*0.92</f>
        <v>414.16560000000004</v>
      </c>
      <c r="F591" s="50">
        <f t="shared" si="24"/>
        <v>414.16560000000004</v>
      </c>
    </row>
    <row r="592" spans="1:6" s="75" customFormat="1" outlineLevel="1" x14ac:dyDescent="0.2">
      <c r="A592" s="83"/>
      <c r="B592" s="81" t="s">
        <v>358</v>
      </c>
      <c r="C592" s="82" t="s">
        <v>9</v>
      </c>
      <c r="D592" s="69"/>
      <c r="E592" s="79">
        <f>E593</f>
        <v>1.0740000000000001</v>
      </c>
      <c r="F592" s="50">
        <f t="shared" si="24"/>
        <v>1.0740000000000001</v>
      </c>
    </row>
    <row r="593" spans="1:6" s="76" customFormat="1" outlineLevel="1" x14ac:dyDescent="0.2">
      <c r="A593" s="84"/>
      <c r="B593" s="85" t="s">
        <v>379</v>
      </c>
      <c r="C593" s="68" t="s">
        <v>9</v>
      </c>
      <c r="D593" s="70"/>
      <c r="E593" s="77">
        <v>1.0740000000000001</v>
      </c>
      <c r="F593" s="50">
        <f t="shared" si="24"/>
        <v>1.0740000000000001</v>
      </c>
    </row>
    <row r="594" spans="1:6" s="75" customFormat="1" outlineLevel="1" x14ac:dyDescent="0.2">
      <c r="A594" s="83"/>
      <c r="B594" s="81" t="s">
        <v>376</v>
      </c>
      <c r="C594" s="82" t="s">
        <v>9</v>
      </c>
      <c r="D594" s="69"/>
      <c r="E594" s="79">
        <v>0.56000000000000005</v>
      </c>
      <c r="F594" s="50">
        <f t="shared" si="24"/>
        <v>0.56000000000000005</v>
      </c>
    </row>
    <row r="595" spans="1:6" s="76" customFormat="1" outlineLevel="1" x14ac:dyDescent="0.2">
      <c r="A595" s="84"/>
      <c r="B595" s="85" t="s">
        <v>378</v>
      </c>
      <c r="C595" s="86" t="s">
        <v>360</v>
      </c>
      <c r="D595" s="70"/>
      <c r="E595" s="74">
        <v>292.8</v>
      </c>
      <c r="F595" s="50">
        <f t="shared" si="24"/>
        <v>292.8</v>
      </c>
    </row>
    <row r="596" spans="1:6" s="76" customFormat="1" outlineLevel="1" x14ac:dyDescent="0.2">
      <c r="A596" s="84"/>
      <c r="B596" s="85" t="s">
        <v>359</v>
      </c>
      <c r="C596" s="86" t="s">
        <v>153</v>
      </c>
      <c r="D596" s="70"/>
      <c r="E596" s="74">
        <v>146.30000000000001</v>
      </c>
      <c r="F596" s="50">
        <f t="shared" si="24"/>
        <v>146.30000000000001</v>
      </c>
    </row>
    <row r="597" spans="1:6" s="75" customFormat="1" outlineLevel="1" x14ac:dyDescent="0.2">
      <c r="A597" s="83"/>
      <c r="B597" s="81" t="s">
        <v>377</v>
      </c>
      <c r="C597" s="82" t="s">
        <v>4</v>
      </c>
      <c r="D597" s="69"/>
      <c r="E597" s="61">
        <v>3.1</v>
      </c>
      <c r="F597" s="73">
        <f t="shared" si="24"/>
        <v>3.1</v>
      </c>
    </row>
    <row r="598" spans="1:6" s="76" customFormat="1" outlineLevel="1" x14ac:dyDescent="0.2">
      <c r="A598" s="84"/>
      <c r="B598" s="85" t="s">
        <v>364</v>
      </c>
      <c r="C598" s="86" t="s">
        <v>4</v>
      </c>
      <c r="D598" s="70"/>
      <c r="E598" s="74">
        <f>E597*1.015</f>
        <v>3.1464999999999996</v>
      </c>
      <c r="F598" s="50">
        <f t="shared" si="24"/>
        <v>3.1464999999999996</v>
      </c>
    </row>
    <row r="599" spans="1:6" s="76" customFormat="1" outlineLevel="1" x14ac:dyDescent="0.2">
      <c r="A599" s="84"/>
      <c r="B599" s="55" t="s">
        <v>365</v>
      </c>
      <c r="C599" s="86" t="s">
        <v>9</v>
      </c>
      <c r="D599" s="70"/>
      <c r="E599" s="78">
        <v>5.0779999999999999E-2</v>
      </c>
      <c r="F599" s="50">
        <f t="shared" si="24"/>
        <v>5.0779999999999999E-2</v>
      </c>
    </row>
    <row r="600" spans="1:6" s="76" customFormat="1" outlineLevel="1" x14ac:dyDescent="0.2">
      <c r="A600" s="84"/>
      <c r="B600" s="55" t="s">
        <v>106</v>
      </c>
      <c r="C600" s="86" t="s">
        <v>9</v>
      </c>
      <c r="D600" s="70"/>
      <c r="E600" s="78">
        <v>5.4859999999999999E-2</v>
      </c>
      <c r="F600" s="50">
        <f t="shared" si="24"/>
        <v>5.4859999999999999E-2</v>
      </c>
    </row>
    <row r="601" spans="1:6" s="76" customFormat="1" outlineLevel="1" x14ac:dyDescent="0.2">
      <c r="A601" s="84"/>
      <c r="B601" s="85" t="s">
        <v>366</v>
      </c>
      <c r="C601" s="86" t="s">
        <v>9</v>
      </c>
      <c r="D601" s="70"/>
      <c r="E601" s="78">
        <v>0.10568</v>
      </c>
      <c r="F601" s="50">
        <f t="shared" si="24"/>
        <v>0.10568</v>
      </c>
    </row>
    <row r="602" spans="1:6" s="76" customFormat="1" outlineLevel="1" x14ac:dyDescent="0.2">
      <c r="A602" s="84"/>
      <c r="B602" s="85" t="s">
        <v>367</v>
      </c>
      <c r="C602" s="86" t="s">
        <v>11</v>
      </c>
      <c r="D602" s="70"/>
      <c r="E602" s="74">
        <v>5.67</v>
      </c>
      <c r="F602" s="50">
        <f t="shared" si="24"/>
        <v>5.67</v>
      </c>
    </row>
    <row r="603" spans="1:6" s="75" customFormat="1" ht="25.5" outlineLevel="1" x14ac:dyDescent="0.2">
      <c r="A603" s="83"/>
      <c r="B603" s="81" t="s">
        <v>368</v>
      </c>
      <c r="C603" s="82" t="s">
        <v>4</v>
      </c>
      <c r="D603" s="69"/>
      <c r="E603" s="79">
        <v>4.0999999999999996</v>
      </c>
      <c r="F603" s="73">
        <f t="shared" si="24"/>
        <v>4.0999999999999996</v>
      </c>
    </row>
    <row r="604" spans="1:6" s="76" customFormat="1" ht="25.5" outlineLevel="1" x14ac:dyDescent="0.2">
      <c r="A604" s="84"/>
      <c r="B604" s="85" t="s">
        <v>369</v>
      </c>
      <c r="C604" s="86" t="s">
        <v>4</v>
      </c>
      <c r="D604" s="70"/>
      <c r="E604" s="77">
        <f>E603*0.98</f>
        <v>4.0179999999999998</v>
      </c>
      <c r="F604" s="50">
        <f t="shared" si="24"/>
        <v>4.0179999999999998</v>
      </c>
    </row>
    <row r="605" spans="1:6" s="67" customFormat="1" ht="15.75" customHeight="1" x14ac:dyDescent="0.2">
      <c r="A605" s="80" t="s">
        <v>343</v>
      </c>
      <c r="B605" s="81" t="s">
        <v>405</v>
      </c>
      <c r="C605" s="82" t="s">
        <v>11</v>
      </c>
      <c r="D605" s="69"/>
      <c r="E605" s="61">
        <f>E606</f>
        <v>150.19999999999999</v>
      </c>
      <c r="F605" s="50">
        <f t="shared" ref="F605:F612" si="26">E605-D605</f>
        <v>150.19999999999999</v>
      </c>
    </row>
    <row r="606" spans="1:6" s="75" customFormat="1" ht="27" customHeight="1" outlineLevel="1" x14ac:dyDescent="0.2">
      <c r="A606" s="83"/>
      <c r="B606" s="81" t="s">
        <v>373</v>
      </c>
      <c r="C606" s="82" t="s">
        <v>11</v>
      </c>
      <c r="D606" s="69"/>
      <c r="E606" s="61">
        <v>150.19999999999999</v>
      </c>
      <c r="F606" s="73">
        <f t="shared" si="26"/>
        <v>150.19999999999999</v>
      </c>
    </row>
    <row r="607" spans="1:6" s="67" customFormat="1" outlineLevel="1" x14ac:dyDescent="0.2">
      <c r="A607" s="53"/>
      <c r="B607" s="85" t="s">
        <v>371</v>
      </c>
      <c r="C607" s="86" t="s">
        <v>11</v>
      </c>
      <c r="D607" s="70"/>
      <c r="E607" s="60">
        <f>E606*4.28</f>
        <v>642.85599999999999</v>
      </c>
      <c r="F607" s="50">
        <f t="shared" si="26"/>
        <v>642.85599999999999</v>
      </c>
    </row>
    <row r="608" spans="1:6" s="67" customFormat="1" ht="25.5" outlineLevel="1" x14ac:dyDescent="0.2">
      <c r="A608" s="53"/>
      <c r="B608" s="85" t="s">
        <v>372</v>
      </c>
      <c r="C608" s="86" t="s">
        <v>4</v>
      </c>
      <c r="D608" s="70"/>
      <c r="E608" s="60">
        <f>E606*0.103</f>
        <v>15.470599999999997</v>
      </c>
      <c r="F608" s="50">
        <f t="shared" si="26"/>
        <v>15.470599999999997</v>
      </c>
    </row>
    <row r="609" spans="1:6" s="75" customFormat="1" ht="36.75" customHeight="1" outlineLevel="1" x14ac:dyDescent="0.2">
      <c r="A609" s="93"/>
      <c r="B609" s="94" t="s">
        <v>380</v>
      </c>
      <c r="C609" s="95" t="s">
        <v>11</v>
      </c>
      <c r="D609" s="96"/>
      <c r="E609" s="97">
        <v>145.77000000000001</v>
      </c>
      <c r="F609" s="73">
        <f t="shared" si="26"/>
        <v>145.77000000000001</v>
      </c>
    </row>
    <row r="610" spans="1:6" s="67" customFormat="1" outlineLevel="1" x14ac:dyDescent="0.2">
      <c r="A610" s="98"/>
      <c r="B610" s="99" t="s">
        <v>371</v>
      </c>
      <c r="C610" s="100" t="s">
        <v>11</v>
      </c>
      <c r="D610" s="101"/>
      <c r="E610" s="102">
        <f>E609*1.12</f>
        <v>163.26240000000001</v>
      </c>
      <c r="F610" s="50">
        <f t="shared" si="26"/>
        <v>163.26240000000001</v>
      </c>
    </row>
    <row r="611" spans="1:6" s="75" customFormat="1" ht="25.5" outlineLevel="1" x14ac:dyDescent="0.2">
      <c r="A611" s="93"/>
      <c r="B611" s="94" t="s">
        <v>375</v>
      </c>
      <c r="C611" s="95" t="s">
        <v>4</v>
      </c>
      <c r="D611" s="96"/>
      <c r="E611" s="103">
        <v>14.577</v>
      </c>
      <c r="F611" s="73">
        <f t="shared" si="26"/>
        <v>14.577</v>
      </c>
    </row>
    <row r="612" spans="1:6" s="67" customFormat="1" ht="25.5" outlineLevel="1" x14ac:dyDescent="0.2">
      <c r="A612" s="98"/>
      <c r="B612" s="99" t="s">
        <v>372</v>
      </c>
      <c r="C612" s="100" t="s">
        <v>4</v>
      </c>
      <c r="D612" s="101"/>
      <c r="E612" s="104">
        <f>E611*0.97</f>
        <v>14.13969</v>
      </c>
      <c r="F612" s="50">
        <f t="shared" si="26"/>
        <v>14.13969</v>
      </c>
    </row>
    <row r="613" spans="1:6" s="67" customFormat="1" ht="15.75" customHeight="1" x14ac:dyDescent="0.2">
      <c r="A613" s="80" t="s">
        <v>344</v>
      </c>
      <c r="B613" s="81" t="s">
        <v>406</v>
      </c>
      <c r="C613" s="82" t="s">
        <v>4</v>
      </c>
      <c r="D613" s="69"/>
      <c r="E613" s="61">
        <f>E614</f>
        <v>128.99</v>
      </c>
      <c r="F613" s="50">
        <f t="shared" ref="F613:F634" si="27">E613-D613</f>
        <v>128.99</v>
      </c>
    </row>
    <row r="614" spans="1:6" s="75" customFormat="1" outlineLevel="1" x14ac:dyDescent="0.2">
      <c r="A614" s="83"/>
      <c r="B614" s="81" t="s">
        <v>355</v>
      </c>
      <c r="C614" s="82" t="s">
        <v>4</v>
      </c>
      <c r="D614" s="69"/>
      <c r="E614" s="61">
        <v>128.99</v>
      </c>
      <c r="F614" s="50">
        <f t="shared" si="27"/>
        <v>128.99</v>
      </c>
    </row>
    <row r="615" spans="1:6" s="76" customFormat="1" outlineLevel="1" x14ac:dyDescent="0.2">
      <c r="A615" s="84"/>
      <c r="B615" s="85" t="s">
        <v>356</v>
      </c>
      <c r="C615" s="86" t="s">
        <v>4</v>
      </c>
      <c r="D615" s="70"/>
      <c r="E615" s="74">
        <f>E614*0.11</f>
        <v>14.1889</v>
      </c>
      <c r="F615" s="50">
        <f t="shared" si="27"/>
        <v>14.1889</v>
      </c>
    </row>
    <row r="616" spans="1:6" s="76" customFormat="1" outlineLevel="1" x14ac:dyDescent="0.2">
      <c r="A616" s="84"/>
      <c r="B616" s="85" t="s">
        <v>357</v>
      </c>
      <c r="C616" s="86" t="s">
        <v>4</v>
      </c>
      <c r="D616" s="70"/>
      <c r="E616" s="74">
        <f>E614*0.92</f>
        <v>118.67080000000001</v>
      </c>
      <c r="F616" s="50">
        <f t="shared" si="27"/>
        <v>118.67080000000001</v>
      </c>
    </row>
    <row r="617" spans="1:6" s="75" customFormat="1" outlineLevel="1" x14ac:dyDescent="0.2">
      <c r="A617" s="83"/>
      <c r="B617" s="81" t="s">
        <v>358</v>
      </c>
      <c r="C617" s="82" t="s">
        <v>9</v>
      </c>
      <c r="D617" s="69"/>
      <c r="E617" s="79">
        <f>E618</f>
        <v>0.3</v>
      </c>
      <c r="F617" s="50">
        <f t="shared" si="27"/>
        <v>0.3</v>
      </c>
    </row>
    <row r="618" spans="1:6" s="76" customFormat="1" outlineLevel="1" x14ac:dyDescent="0.2">
      <c r="A618" s="84"/>
      <c r="B618" s="85" t="s">
        <v>379</v>
      </c>
      <c r="C618" s="68" t="s">
        <v>9</v>
      </c>
      <c r="D618" s="70"/>
      <c r="E618" s="77">
        <v>0.3</v>
      </c>
      <c r="F618" s="50">
        <f t="shared" si="27"/>
        <v>0.3</v>
      </c>
    </row>
    <row r="619" spans="1:6" s="75" customFormat="1" outlineLevel="1" x14ac:dyDescent="0.2">
      <c r="A619" s="83"/>
      <c r="B619" s="81" t="s">
        <v>355</v>
      </c>
      <c r="C619" s="82" t="s">
        <v>4</v>
      </c>
      <c r="D619" s="69"/>
      <c r="E619" s="61">
        <v>5.1100000000000003</v>
      </c>
      <c r="F619" s="50">
        <f t="shared" ref="F619:F623" si="28">E619-D619</f>
        <v>5.1100000000000003</v>
      </c>
    </row>
    <row r="620" spans="1:6" s="76" customFormat="1" outlineLevel="1" x14ac:dyDescent="0.2">
      <c r="A620" s="84"/>
      <c r="B620" s="85" t="s">
        <v>356</v>
      </c>
      <c r="C620" s="86" t="s">
        <v>4</v>
      </c>
      <c r="D620" s="70"/>
      <c r="E620" s="74">
        <f>E619*0.11</f>
        <v>0.56210000000000004</v>
      </c>
      <c r="F620" s="50">
        <f t="shared" si="28"/>
        <v>0.56210000000000004</v>
      </c>
    </row>
    <row r="621" spans="1:6" s="76" customFormat="1" outlineLevel="1" x14ac:dyDescent="0.2">
      <c r="A621" s="84"/>
      <c r="B621" s="85" t="s">
        <v>357</v>
      </c>
      <c r="C621" s="86" t="s">
        <v>4</v>
      </c>
      <c r="D621" s="70"/>
      <c r="E621" s="74">
        <f>E619*0.92</f>
        <v>4.7012000000000009</v>
      </c>
      <c r="F621" s="50">
        <f t="shared" si="28"/>
        <v>4.7012000000000009</v>
      </c>
    </row>
    <row r="622" spans="1:6" s="75" customFormat="1" outlineLevel="1" x14ac:dyDescent="0.2">
      <c r="A622" s="83"/>
      <c r="B622" s="81" t="s">
        <v>358</v>
      </c>
      <c r="C622" s="82" t="s">
        <v>9</v>
      </c>
      <c r="D622" s="69"/>
      <c r="E622" s="79">
        <f>E623</f>
        <v>2.5000000000000001E-2</v>
      </c>
      <c r="F622" s="50">
        <f t="shared" si="28"/>
        <v>2.5000000000000001E-2</v>
      </c>
    </row>
    <row r="623" spans="1:6" s="76" customFormat="1" outlineLevel="1" x14ac:dyDescent="0.2">
      <c r="A623" s="84"/>
      <c r="B623" s="85" t="s">
        <v>379</v>
      </c>
      <c r="C623" s="68" t="s">
        <v>9</v>
      </c>
      <c r="D623" s="70"/>
      <c r="E623" s="77">
        <v>2.5000000000000001E-2</v>
      </c>
      <c r="F623" s="50">
        <f t="shared" si="28"/>
        <v>2.5000000000000001E-2</v>
      </c>
    </row>
    <row r="624" spans="1:6" s="75" customFormat="1" outlineLevel="1" x14ac:dyDescent="0.2">
      <c r="A624" s="83"/>
      <c r="B624" s="81" t="s">
        <v>376</v>
      </c>
      <c r="C624" s="82" t="s">
        <v>9</v>
      </c>
      <c r="D624" s="69"/>
      <c r="E624" s="79">
        <v>0.249</v>
      </c>
      <c r="F624" s="50">
        <f t="shared" si="27"/>
        <v>0.249</v>
      </c>
    </row>
    <row r="625" spans="1:6" s="76" customFormat="1" outlineLevel="1" x14ac:dyDescent="0.2">
      <c r="A625" s="84"/>
      <c r="B625" s="85" t="s">
        <v>378</v>
      </c>
      <c r="C625" s="86" t="s">
        <v>360</v>
      </c>
      <c r="D625" s="70"/>
      <c r="E625" s="74">
        <v>130.4</v>
      </c>
      <c r="F625" s="50">
        <f t="shared" si="27"/>
        <v>130.4</v>
      </c>
    </row>
    <row r="626" spans="1:6" s="76" customFormat="1" outlineLevel="1" x14ac:dyDescent="0.2">
      <c r="A626" s="84"/>
      <c r="B626" s="85" t="s">
        <v>359</v>
      </c>
      <c r="C626" s="86" t="s">
        <v>153</v>
      </c>
      <c r="D626" s="70"/>
      <c r="E626" s="74">
        <v>65.2</v>
      </c>
      <c r="F626" s="50">
        <f t="shared" si="27"/>
        <v>65.2</v>
      </c>
    </row>
    <row r="627" spans="1:6" s="75" customFormat="1" outlineLevel="1" x14ac:dyDescent="0.2">
      <c r="A627" s="83"/>
      <c r="B627" s="81" t="s">
        <v>377</v>
      </c>
      <c r="C627" s="82" t="s">
        <v>4</v>
      </c>
      <c r="D627" s="69"/>
      <c r="E627" s="61">
        <v>1.37</v>
      </c>
      <c r="F627" s="73">
        <f t="shared" si="27"/>
        <v>1.37</v>
      </c>
    </row>
    <row r="628" spans="1:6" s="76" customFormat="1" outlineLevel="1" x14ac:dyDescent="0.2">
      <c r="A628" s="84"/>
      <c r="B628" s="85" t="s">
        <v>364</v>
      </c>
      <c r="C628" s="86" t="s">
        <v>4</v>
      </c>
      <c r="D628" s="70"/>
      <c r="E628" s="74">
        <f>E627*1.015</f>
        <v>1.39055</v>
      </c>
      <c r="F628" s="50">
        <f t="shared" si="27"/>
        <v>1.39055</v>
      </c>
    </row>
    <row r="629" spans="1:6" s="76" customFormat="1" outlineLevel="1" x14ac:dyDescent="0.2">
      <c r="A629" s="84"/>
      <c r="B629" s="55" t="s">
        <v>365</v>
      </c>
      <c r="C629" s="86" t="s">
        <v>9</v>
      </c>
      <c r="D629" s="70"/>
      <c r="E629" s="78">
        <v>2.7019999999999999E-2</v>
      </c>
      <c r="F629" s="50">
        <f t="shared" si="27"/>
        <v>2.7019999999999999E-2</v>
      </c>
    </row>
    <row r="630" spans="1:6" s="76" customFormat="1" outlineLevel="1" x14ac:dyDescent="0.2">
      <c r="A630" s="84"/>
      <c r="B630" s="55" t="s">
        <v>106</v>
      </c>
      <c r="C630" s="86" t="s">
        <v>9</v>
      </c>
      <c r="D630" s="70"/>
      <c r="E630" s="78">
        <v>1.155E-2</v>
      </c>
      <c r="F630" s="50">
        <f t="shared" si="27"/>
        <v>1.155E-2</v>
      </c>
    </row>
    <row r="631" spans="1:6" s="76" customFormat="1" outlineLevel="1" x14ac:dyDescent="0.2">
      <c r="A631" s="84"/>
      <c r="B631" s="85" t="s">
        <v>366</v>
      </c>
      <c r="C631" s="86" t="s">
        <v>9</v>
      </c>
      <c r="D631" s="70"/>
      <c r="E631" s="78">
        <v>4.6969999999999998E-2</v>
      </c>
      <c r="F631" s="50">
        <f t="shared" si="27"/>
        <v>4.6969999999999998E-2</v>
      </c>
    </row>
    <row r="632" spans="1:6" s="76" customFormat="1" outlineLevel="1" x14ac:dyDescent="0.2">
      <c r="A632" s="84"/>
      <c r="B632" s="85" t="s">
        <v>367</v>
      </c>
      <c r="C632" s="86" t="s">
        <v>11</v>
      </c>
      <c r="D632" s="70"/>
      <c r="E632" s="74">
        <v>2.5099999999999998</v>
      </c>
      <c r="F632" s="50">
        <f t="shared" si="27"/>
        <v>2.5099999999999998</v>
      </c>
    </row>
    <row r="633" spans="1:6" s="75" customFormat="1" ht="25.5" outlineLevel="1" x14ac:dyDescent="0.2">
      <c r="A633" s="83"/>
      <c r="B633" s="81" t="s">
        <v>368</v>
      </c>
      <c r="C633" s="82" t="s">
        <v>4</v>
      </c>
      <c r="D633" s="69"/>
      <c r="E633" s="79">
        <v>1.4</v>
      </c>
      <c r="F633" s="73">
        <f t="shared" si="27"/>
        <v>1.4</v>
      </c>
    </row>
    <row r="634" spans="1:6" s="76" customFormat="1" ht="25.5" outlineLevel="1" x14ac:dyDescent="0.2">
      <c r="A634" s="84"/>
      <c r="B634" s="85" t="s">
        <v>369</v>
      </c>
      <c r="C634" s="86" t="s">
        <v>4</v>
      </c>
      <c r="D634" s="70"/>
      <c r="E634" s="77">
        <f>E633*0.98</f>
        <v>1.3719999999999999</v>
      </c>
      <c r="F634" s="50">
        <f t="shared" si="27"/>
        <v>1.3719999999999999</v>
      </c>
    </row>
    <row r="635" spans="1:6" s="67" customFormat="1" ht="15.75" customHeight="1" x14ac:dyDescent="0.2">
      <c r="A635" s="80" t="s">
        <v>345</v>
      </c>
      <c r="B635" s="81" t="s">
        <v>407</v>
      </c>
      <c r="C635" s="82" t="s">
        <v>11</v>
      </c>
      <c r="D635" s="69"/>
      <c r="E635" s="61">
        <f>E636+E639</f>
        <v>16.27</v>
      </c>
      <c r="F635" s="50">
        <f t="shared" ref="F635:F641" si="29">E635-D635</f>
        <v>16.27</v>
      </c>
    </row>
    <row r="636" spans="1:6" s="75" customFormat="1" ht="27" customHeight="1" outlineLevel="1" x14ac:dyDescent="0.2">
      <c r="A636" s="83"/>
      <c r="B636" s="81" t="s">
        <v>370</v>
      </c>
      <c r="C636" s="82" t="s">
        <v>11</v>
      </c>
      <c r="D636" s="69"/>
      <c r="E636" s="61">
        <v>6.3</v>
      </c>
      <c r="F636" s="73">
        <f t="shared" si="29"/>
        <v>6.3</v>
      </c>
    </row>
    <row r="637" spans="1:6" s="67" customFormat="1" outlineLevel="1" x14ac:dyDescent="0.2">
      <c r="A637" s="53"/>
      <c r="B637" s="85" t="s">
        <v>371</v>
      </c>
      <c r="C637" s="86" t="s">
        <v>11</v>
      </c>
      <c r="D637" s="70"/>
      <c r="E637" s="60">
        <f>E636*4.49</f>
        <v>28.286999999999999</v>
      </c>
      <c r="F637" s="50">
        <f t="shared" si="29"/>
        <v>28.286999999999999</v>
      </c>
    </row>
    <row r="638" spans="1:6" s="67" customFormat="1" ht="25.5" outlineLevel="1" x14ac:dyDescent="0.2">
      <c r="A638" s="53"/>
      <c r="B638" s="85" t="s">
        <v>372</v>
      </c>
      <c r="C638" s="86" t="s">
        <v>4</v>
      </c>
      <c r="D638" s="70"/>
      <c r="E638" s="60">
        <f>E636*0.103</f>
        <v>0.64889999999999992</v>
      </c>
      <c r="F638" s="50">
        <f t="shared" si="29"/>
        <v>0.64889999999999992</v>
      </c>
    </row>
    <row r="639" spans="1:6" s="75" customFormat="1" ht="27" customHeight="1" outlineLevel="1" x14ac:dyDescent="0.2">
      <c r="A639" s="83"/>
      <c r="B639" s="81" t="s">
        <v>373</v>
      </c>
      <c r="C639" s="82" t="s">
        <v>11</v>
      </c>
      <c r="D639" s="69"/>
      <c r="E639" s="61">
        <v>9.9700000000000006</v>
      </c>
      <c r="F639" s="73">
        <f t="shared" si="29"/>
        <v>9.9700000000000006</v>
      </c>
    </row>
    <row r="640" spans="1:6" s="67" customFormat="1" outlineLevel="1" x14ac:dyDescent="0.2">
      <c r="A640" s="53"/>
      <c r="B640" s="85" t="s">
        <v>371</v>
      </c>
      <c r="C640" s="86" t="s">
        <v>11</v>
      </c>
      <c r="D640" s="70"/>
      <c r="E640" s="60">
        <f>E639*4.28</f>
        <v>42.671600000000005</v>
      </c>
      <c r="F640" s="50">
        <f t="shared" si="29"/>
        <v>42.671600000000005</v>
      </c>
    </row>
    <row r="641" spans="1:6" s="67" customFormat="1" ht="25.5" outlineLevel="1" x14ac:dyDescent="0.2">
      <c r="A641" s="53"/>
      <c r="B641" s="85" t="s">
        <v>372</v>
      </c>
      <c r="C641" s="86" t="s">
        <v>4</v>
      </c>
      <c r="D641" s="70"/>
      <c r="E641" s="60">
        <f>E639*0.103</f>
        <v>1.02691</v>
      </c>
      <c r="F641" s="50">
        <f t="shared" si="29"/>
        <v>1.02691</v>
      </c>
    </row>
    <row r="642" spans="1:6" s="67" customFormat="1" ht="15.75" customHeight="1" x14ac:dyDescent="0.2">
      <c r="A642" s="80" t="s">
        <v>408</v>
      </c>
      <c r="B642" s="81" t="s">
        <v>409</v>
      </c>
      <c r="C642" s="82" t="s">
        <v>4</v>
      </c>
      <c r="D642" s="69"/>
      <c r="E642" s="61">
        <f>E643</f>
        <v>64.48</v>
      </c>
      <c r="F642" s="50">
        <f t="shared" ref="F642:F658" si="30">E642-D642</f>
        <v>64.48</v>
      </c>
    </row>
    <row r="643" spans="1:6" s="75" customFormat="1" outlineLevel="1" x14ac:dyDescent="0.2">
      <c r="A643" s="83"/>
      <c r="B643" s="81" t="s">
        <v>355</v>
      </c>
      <c r="C643" s="82" t="s">
        <v>4</v>
      </c>
      <c r="D643" s="69"/>
      <c r="E643" s="61">
        <v>64.48</v>
      </c>
      <c r="F643" s="50">
        <f t="shared" si="30"/>
        <v>64.48</v>
      </c>
    </row>
    <row r="644" spans="1:6" s="76" customFormat="1" outlineLevel="1" x14ac:dyDescent="0.2">
      <c r="A644" s="84"/>
      <c r="B644" s="85" t="s">
        <v>356</v>
      </c>
      <c r="C644" s="86" t="s">
        <v>4</v>
      </c>
      <c r="D644" s="70"/>
      <c r="E644" s="74">
        <f>E643*0.11</f>
        <v>7.0928000000000004</v>
      </c>
      <c r="F644" s="50">
        <f t="shared" si="30"/>
        <v>7.0928000000000004</v>
      </c>
    </row>
    <row r="645" spans="1:6" s="76" customFormat="1" outlineLevel="1" x14ac:dyDescent="0.2">
      <c r="A645" s="84"/>
      <c r="B645" s="85" t="s">
        <v>357</v>
      </c>
      <c r="C645" s="86" t="s">
        <v>4</v>
      </c>
      <c r="D645" s="70"/>
      <c r="E645" s="74">
        <f>E643*0.92</f>
        <v>59.321600000000004</v>
      </c>
      <c r="F645" s="50">
        <f t="shared" si="30"/>
        <v>59.321600000000004</v>
      </c>
    </row>
    <row r="646" spans="1:6" s="75" customFormat="1" outlineLevel="1" x14ac:dyDescent="0.2">
      <c r="A646" s="83"/>
      <c r="B646" s="81" t="s">
        <v>358</v>
      </c>
      <c r="C646" s="82" t="s">
        <v>9</v>
      </c>
      <c r="D646" s="69"/>
      <c r="E646" s="79">
        <v>0.17</v>
      </c>
      <c r="F646" s="50">
        <f t="shared" si="30"/>
        <v>0.17</v>
      </c>
    </row>
    <row r="647" spans="1:6" s="76" customFormat="1" outlineLevel="1" x14ac:dyDescent="0.2">
      <c r="A647" s="84"/>
      <c r="B647" s="85" t="s">
        <v>379</v>
      </c>
      <c r="C647" s="68" t="s">
        <v>9</v>
      </c>
      <c r="D647" s="70"/>
      <c r="E647" s="77">
        <v>0.17</v>
      </c>
      <c r="F647" s="50">
        <f t="shared" si="30"/>
        <v>0.17</v>
      </c>
    </row>
    <row r="648" spans="1:6" s="75" customFormat="1" outlineLevel="1" x14ac:dyDescent="0.2">
      <c r="A648" s="83"/>
      <c r="B648" s="81" t="s">
        <v>376</v>
      </c>
      <c r="C648" s="82" t="s">
        <v>9</v>
      </c>
      <c r="D648" s="69"/>
      <c r="E648" s="79">
        <v>9.9000000000000005E-2</v>
      </c>
      <c r="F648" s="50">
        <f t="shared" si="30"/>
        <v>9.9000000000000005E-2</v>
      </c>
    </row>
    <row r="649" spans="1:6" s="76" customFormat="1" outlineLevel="1" x14ac:dyDescent="0.2">
      <c r="A649" s="84"/>
      <c r="B649" s="85" t="s">
        <v>378</v>
      </c>
      <c r="C649" s="86" t="s">
        <v>360</v>
      </c>
      <c r="D649" s="70"/>
      <c r="E649" s="74">
        <v>52</v>
      </c>
      <c r="F649" s="50">
        <f t="shared" si="30"/>
        <v>52</v>
      </c>
    </row>
    <row r="650" spans="1:6" s="76" customFormat="1" outlineLevel="1" x14ac:dyDescent="0.2">
      <c r="A650" s="84"/>
      <c r="B650" s="85" t="s">
        <v>359</v>
      </c>
      <c r="C650" s="86" t="s">
        <v>153</v>
      </c>
      <c r="D650" s="70"/>
      <c r="E650" s="74">
        <v>26</v>
      </c>
      <c r="F650" s="50">
        <f t="shared" si="30"/>
        <v>26</v>
      </c>
    </row>
    <row r="651" spans="1:6" s="75" customFormat="1" outlineLevel="1" x14ac:dyDescent="0.2">
      <c r="A651" s="83"/>
      <c r="B651" s="81" t="s">
        <v>377</v>
      </c>
      <c r="C651" s="82" t="s">
        <v>4</v>
      </c>
      <c r="D651" s="69"/>
      <c r="E651" s="61">
        <v>0.31</v>
      </c>
      <c r="F651" s="73">
        <f t="shared" si="30"/>
        <v>0.31</v>
      </c>
    </row>
    <row r="652" spans="1:6" s="76" customFormat="1" outlineLevel="1" x14ac:dyDescent="0.2">
      <c r="A652" s="84"/>
      <c r="B652" s="85" t="s">
        <v>364</v>
      </c>
      <c r="C652" s="86" t="s">
        <v>4</v>
      </c>
      <c r="D652" s="70"/>
      <c r="E652" s="74">
        <f>E651*1.015</f>
        <v>0.31464999999999999</v>
      </c>
      <c r="F652" s="50">
        <f t="shared" si="30"/>
        <v>0.31464999999999999</v>
      </c>
    </row>
    <row r="653" spans="1:6" s="76" customFormat="1" outlineLevel="1" x14ac:dyDescent="0.2">
      <c r="A653" s="84"/>
      <c r="B653" s="55" t="s">
        <v>365</v>
      </c>
      <c r="C653" s="86" t="s">
        <v>9</v>
      </c>
      <c r="D653" s="70"/>
      <c r="E653" s="78">
        <v>5.9379999999999997E-3</v>
      </c>
      <c r="F653" s="50">
        <f t="shared" si="30"/>
        <v>5.9379999999999997E-3</v>
      </c>
    </row>
    <row r="654" spans="1:6" s="76" customFormat="1" outlineLevel="1" x14ac:dyDescent="0.2">
      <c r="A654" s="84"/>
      <c r="B654" s="55" t="s">
        <v>106</v>
      </c>
      <c r="C654" s="86" t="s">
        <v>9</v>
      </c>
      <c r="D654" s="70"/>
      <c r="E654" s="78">
        <v>2.8800000000000002E-3</v>
      </c>
      <c r="F654" s="50">
        <f t="shared" si="30"/>
        <v>2.8800000000000002E-3</v>
      </c>
    </row>
    <row r="655" spans="1:6" s="76" customFormat="1" outlineLevel="1" x14ac:dyDescent="0.2">
      <c r="A655" s="84"/>
      <c r="B655" s="85" t="s">
        <v>366</v>
      </c>
      <c r="C655" s="86" t="s">
        <v>9</v>
      </c>
      <c r="D655" s="70"/>
      <c r="E655" s="78">
        <v>1.0500000000000001E-2</v>
      </c>
      <c r="F655" s="50">
        <f t="shared" si="30"/>
        <v>1.0500000000000001E-2</v>
      </c>
    </row>
    <row r="656" spans="1:6" s="76" customFormat="1" outlineLevel="1" x14ac:dyDescent="0.2">
      <c r="A656" s="84"/>
      <c r="B656" s="85" t="s">
        <v>367</v>
      </c>
      <c r="C656" s="86" t="s">
        <v>11</v>
      </c>
      <c r="D656" s="70"/>
      <c r="E656" s="74">
        <v>0.56999999999999995</v>
      </c>
      <c r="F656" s="50">
        <f t="shared" si="30"/>
        <v>0.56999999999999995</v>
      </c>
    </row>
    <row r="657" spans="1:6" s="75" customFormat="1" ht="25.5" outlineLevel="1" x14ac:dyDescent="0.2">
      <c r="A657" s="83"/>
      <c r="B657" s="81" t="s">
        <v>368</v>
      </c>
      <c r="C657" s="82" t="s">
        <v>4</v>
      </c>
      <c r="D657" s="69"/>
      <c r="E657" s="79">
        <v>0.55000000000000004</v>
      </c>
      <c r="F657" s="73">
        <f t="shared" si="30"/>
        <v>0.55000000000000004</v>
      </c>
    </row>
    <row r="658" spans="1:6" s="76" customFormat="1" ht="25.5" outlineLevel="1" x14ac:dyDescent="0.2">
      <c r="A658" s="84"/>
      <c r="B658" s="85" t="s">
        <v>369</v>
      </c>
      <c r="C658" s="86" t="s">
        <v>4</v>
      </c>
      <c r="D658" s="70"/>
      <c r="E658" s="77">
        <f>E657*0.98</f>
        <v>0.53900000000000003</v>
      </c>
      <c r="F658" s="50">
        <f t="shared" si="30"/>
        <v>0.53900000000000003</v>
      </c>
    </row>
    <row r="659" spans="1:6" s="67" customFormat="1" ht="15.75" customHeight="1" x14ac:dyDescent="0.2">
      <c r="A659" s="80" t="s">
        <v>411</v>
      </c>
      <c r="B659" s="81" t="s">
        <v>410</v>
      </c>
      <c r="C659" s="82" t="s">
        <v>11</v>
      </c>
      <c r="D659" s="69"/>
      <c r="E659" s="61">
        <f>E664</f>
        <v>64.099999999999994</v>
      </c>
      <c r="F659" s="50">
        <f t="shared" ref="F659:F661" si="31">E659-D659</f>
        <v>64.099999999999994</v>
      </c>
    </row>
    <row r="660" spans="1:6" s="75" customFormat="1" ht="37.5" customHeight="1" outlineLevel="1" x14ac:dyDescent="0.2">
      <c r="A660" s="93"/>
      <c r="B660" s="94" t="s">
        <v>380</v>
      </c>
      <c r="C660" s="95" t="s">
        <v>11</v>
      </c>
      <c r="D660" s="96"/>
      <c r="E660" s="97">
        <v>46.99</v>
      </c>
      <c r="F660" s="73">
        <f t="shared" si="31"/>
        <v>46.99</v>
      </c>
    </row>
    <row r="661" spans="1:6" s="67" customFormat="1" outlineLevel="1" x14ac:dyDescent="0.2">
      <c r="A661" s="98"/>
      <c r="B661" s="99" t="s">
        <v>371</v>
      </c>
      <c r="C661" s="100" t="s">
        <v>11</v>
      </c>
      <c r="D661" s="101"/>
      <c r="E661" s="102">
        <f>E660*1.12</f>
        <v>52.628800000000005</v>
      </c>
      <c r="F661" s="50">
        <f t="shared" si="31"/>
        <v>52.628800000000005</v>
      </c>
    </row>
    <row r="662" spans="1:6" s="75" customFormat="1" ht="25.5" outlineLevel="1" x14ac:dyDescent="0.2">
      <c r="A662" s="93"/>
      <c r="B662" s="94" t="s">
        <v>368</v>
      </c>
      <c r="C662" s="95" t="s">
        <v>4</v>
      </c>
      <c r="D662" s="96"/>
      <c r="E662" s="103">
        <v>4.6900000000000004</v>
      </c>
      <c r="F662" s="73">
        <f t="shared" ref="F662:F666" si="32">E662-D662</f>
        <v>4.6900000000000004</v>
      </c>
    </row>
    <row r="663" spans="1:6" s="76" customFormat="1" ht="25.5" outlineLevel="1" x14ac:dyDescent="0.2">
      <c r="A663" s="105"/>
      <c r="B663" s="99" t="s">
        <v>369</v>
      </c>
      <c r="C663" s="100" t="s">
        <v>4</v>
      </c>
      <c r="D663" s="101"/>
      <c r="E663" s="106">
        <f>E662*0.98</f>
        <v>4.5962000000000005</v>
      </c>
      <c r="F663" s="50">
        <f t="shared" si="32"/>
        <v>4.5962000000000005</v>
      </c>
    </row>
    <row r="664" spans="1:6" s="75" customFormat="1" ht="27" customHeight="1" outlineLevel="1" x14ac:dyDescent="0.2">
      <c r="A664" s="83"/>
      <c r="B664" s="81" t="s">
        <v>373</v>
      </c>
      <c r="C664" s="82" t="s">
        <v>11</v>
      </c>
      <c r="D664" s="69"/>
      <c r="E664" s="61">
        <v>64.099999999999994</v>
      </c>
      <c r="F664" s="73">
        <f t="shared" si="32"/>
        <v>64.099999999999994</v>
      </c>
    </row>
    <row r="665" spans="1:6" s="67" customFormat="1" outlineLevel="1" x14ac:dyDescent="0.2">
      <c r="A665" s="53"/>
      <c r="B665" s="85" t="s">
        <v>371</v>
      </c>
      <c r="C665" s="86" t="s">
        <v>11</v>
      </c>
      <c r="D665" s="70"/>
      <c r="E665" s="60">
        <f>E664*4.28</f>
        <v>274.34800000000001</v>
      </c>
      <c r="F665" s="50">
        <f t="shared" si="32"/>
        <v>274.34800000000001</v>
      </c>
    </row>
    <row r="666" spans="1:6" s="67" customFormat="1" ht="25.5" outlineLevel="1" x14ac:dyDescent="0.2">
      <c r="A666" s="53"/>
      <c r="B666" s="85" t="s">
        <v>372</v>
      </c>
      <c r="C666" s="86" t="s">
        <v>4</v>
      </c>
      <c r="D666" s="70"/>
      <c r="E666" s="60">
        <f>E664*0.103</f>
        <v>6.6022999999999987</v>
      </c>
      <c r="F666" s="50">
        <f t="shared" si="32"/>
        <v>6.6022999999999987</v>
      </c>
    </row>
    <row r="667" spans="1:6" s="67" customFormat="1" collapsed="1" x14ac:dyDescent="0.2">
      <c r="A667" s="228" t="s">
        <v>346</v>
      </c>
      <c r="B667" s="229"/>
      <c r="C667" s="229"/>
      <c r="D667" s="229"/>
      <c r="E667" s="102"/>
      <c r="F667" s="50">
        <f t="shared" si="22"/>
        <v>0</v>
      </c>
    </row>
    <row r="668" spans="1:6" s="67" customFormat="1" ht="32.25" customHeight="1" x14ac:dyDescent="0.2">
      <c r="A668" s="93" t="s">
        <v>299</v>
      </c>
      <c r="B668" s="94" t="s">
        <v>161</v>
      </c>
      <c r="C668" s="107" t="s">
        <v>11</v>
      </c>
      <c r="D668" s="97">
        <f>D669</f>
        <v>5045.3999999999996</v>
      </c>
      <c r="E668" s="97">
        <f>E669</f>
        <v>5045.4359999999997</v>
      </c>
      <c r="F668" s="50">
        <f t="shared" si="22"/>
        <v>3.6000000000058208E-2</v>
      </c>
    </row>
    <row r="669" spans="1:6" s="67" customFormat="1" ht="25.5" outlineLevel="1" x14ac:dyDescent="0.2">
      <c r="A669" s="98"/>
      <c r="B669" s="108" t="s">
        <v>161</v>
      </c>
      <c r="C669" s="109" t="s">
        <v>11</v>
      </c>
      <c r="D669" s="110">
        <v>5045.3999999999996</v>
      </c>
      <c r="E669" s="102">
        <v>5045.4359999999997</v>
      </c>
      <c r="F669" s="50">
        <f t="shared" si="22"/>
        <v>3.6000000000058208E-2</v>
      </c>
    </row>
    <row r="670" spans="1:6" s="67" customFormat="1" ht="38.25" outlineLevel="1" x14ac:dyDescent="0.2">
      <c r="A670" s="98"/>
      <c r="B670" s="108" t="s">
        <v>351</v>
      </c>
      <c r="C670" s="109" t="s">
        <v>11</v>
      </c>
      <c r="D670" s="110"/>
      <c r="E670" s="102">
        <v>5045.4399999999996</v>
      </c>
      <c r="F670" s="50">
        <f t="shared" si="22"/>
        <v>5045.4399999999996</v>
      </c>
    </row>
    <row r="671" spans="1:6" s="67" customFormat="1" ht="21" customHeight="1" x14ac:dyDescent="0.2">
      <c r="A671" s="93" t="s">
        <v>347</v>
      </c>
      <c r="B671" s="111" t="s">
        <v>162</v>
      </c>
      <c r="C671" s="95" t="s">
        <v>11</v>
      </c>
      <c r="D671" s="112">
        <f>D672</f>
        <v>5189.8999999999996</v>
      </c>
      <c r="E671" s="97">
        <f>E672</f>
        <v>5189.9399999999996</v>
      </c>
      <c r="F671" s="50">
        <f t="shared" si="22"/>
        <v>3.999999999996362E-2</v>
      </c>
    </row>
    <row r="672" spans="1:6" s="67" customFormat="1" outlineLevel="1" x14ac:dyDescent="0.2">
      <c r="A672" s="98"/>
      <c r="B672" s="113" t="s">
        <v>162</v>
      </c>
      <c r="C672" s="109" t="s">
        <v>11</v>
      </c>
      <c r="D672" s="110">
        <v>5189.8999999999996</v>
      </c>
      <c r="E672" s="102">
        <v>5189.9399999999996</v>
      </c>
      <c r="F672" s="50">
        <f t="shared" si="22"/>
        <v>3.999999999996362E-2</v>
      </c>
    </row>
    <row r="673" spans="1:6" s="67" customFormat="1" ht="38.25" outlineLevel="1" x14ac:dyDescent="0.2">
      <c r="A673" s="98"/>
      <c r="B673" s="114" t="s">
        <v>352</v>
      </c>
      <c r="C673" s="109" t="s">
        <v>11</v>
      </c>
      <c r="D673" s="110"/>
      <c r="E673" s="102">
        <f>E672*1.03</f>
        <v>5345.6381999999994</v>
      </c>
      <c r="F673" s="50">
        <f t="shared" si="22"/>
        <v>5345.6381999999994</v>
      </c>
    </row>
    <row r="674" spans="1:6" s="67" customFormat="1" x14ac:dyDescent="0.2">
      <c r="A674" s="93" t="s">
        <v>348</v>
      </c>
      <c r="B674" s="111" t="s">
        <v>163</v>
      </c>
      <c r="C674" s="95" t="s">
        <v>11</v>
      </c>
      <c r="D674" s="112">
        <f>D675</f>
        <v>3980</v>
      </c>
      <c r="E674" s="97">
        <f>E675</f>
        <v>3980</v>
      </c>
      <c r="F674" s="50">
        <f t="shared" si="22"/>
        <v>0</v>
      </c>
    </row>
    <row r="675" spans="1:6" s="67" customFormat="1" outlineLevel="1" x14ac:dyDescent="0.2">
      <c r="A675" s="98"/>
      <c r="B675" s="113" t="s">
        <v>350</v>
      </c>
      <c r="C675" s="109" t="s">
        <v>11</v>
      </c>
      <c r="D675" s="110">
        <f>D676+D678</f>
        <v>3980</v>
      </c>
      <c r="E675" s="115">
        <f>E676+E678</f>
        <v>3980</v>
      </c>
      <c r="F675" s="50">
        <f t="shared" si="22"/>
        <v>0</v>
      </c>
    </row>
    <row r="676" spans="1:6" s="67" customFormat="1" outlineLevel="1" x14ac:dyDescent="0.2">
      <c r="A676" s="98"/>
      <c r="B676" s="116" t="s">
        <v>164</v>
      </c>
      <c r="C676" s="109" t="s">
        <v>11</v>
      </c>
      <c r="D676" s="110">
        <v>2761</v>
      </c>
      <c r="E676" s="102">
        <v>2761</v>
      </c>
      <c r="F676" s="50">
        <f t="shared" si="22"/>
        <v>0</v>
      </c>
    </row>
    <row r="677" spans="1:6" s="67" customFormat="1" ht="40.5" customHeight="1" outlineLevel="1" x14ac:dyDescent="0.2">
      <c r="A677" s="98"/>
      <c r="B677" s="116" t="s">
        <v>353</v>
      </c>
      <c r="C677" s="109" t="s">
        <v>11</v>
      </c>
      <c r="D677" s="110"/>
      <c r="E677" s="102">
        <f>E676*1.18</f>
        <v>3257.98</v>
      </c>
      <c r="F677" s="50">
        <f t="shared" si="22"/>
        <v>3257.98</v>
      </c>
    </row>
    <row r="678" spans="1:6" s="67" customFormat="1" outlineLevel="1" x14ac:dyDescent="0.2">
      <c r="A678" s="98"/>
      <c r="B678" s="113" t="s">
        <v>165</v>
      </c>
      <c r="C678" s="109" t="s">
        <v>11</v>
      </c>
      <c r="D678" s="110">
        <v>1219</v>
      </c>
      <c r="E678" s="102">
        <v>1219</v>
      </c>
      <c r="F678" s="50">
        <f t="shared" si="22"/>
        <v>0</v>
      </c>
    </row>
    <row r="679" spans="1:6" s="67" customFormat="1" ht="39" customHeight="1" outlineLevel="1" x14ac:dyDescent="0.2">
      <c r="A679" s="117"/>
      <c r="B679" s="114" t="s">
        <v>354</v>
      </c>
      <c r="C679" s="118" t="s">
        <v>11</v>
      </c>
      <c r="D679" s="110"/>
      <c r="E679" s="102">
        <f>E678*1.18</f>
        <v>1438.4199999999998</v>
      </c>
      <c r="F679" s="50">
        <f t="shared" si="22"/>
        <v>1438.4199999999998</v>
      </c>
    </row>
    <row r="680" spans="1:6" s="67" customFormat="1" x14ac:dyDescent="0.2">
      <c r="A680" s="93" t="s">
        <v>349</v>
      </c>
      <c r="B680" s="111" t="s">
        <v>300</v>
      </c>
      <c r="C680" s="95" t="s">
        <v>11</v>
      </c>
      <c r="D680" s="112">
        <v>570.24</v>
      </c>
      <c r="E680" s="112">
        <v>570.24</v>
      </c>
      <c r="F680" s="50">
        <f t="shared" si="22"/>
        <v>0</v>
      </c>
    </row>
    <row r="681" spans="1:6" s="67" customFormat="1" outlineLevel="1" x14ac:dyDescent="0.2">
      <c r="A681" s="98"/>
      <c r="B681" s="108" t="s">
        <v>166</v>
      </c>
      <c r="C681" s="98" t="s">
        <v>11</v>
      </c>
      <c r="D681" s="115">
        <v>570.24</v>
      </c>
      <c r="E681" s="115">
        <v>570.24</v>
      </c>
      <c r="F681" s="50">
        <f t="shared" si="22"/>
        <v>0</v>
      </c>
    </row>
    <row r="682" spans="1:6" s="67" customFormat="1" outlineLevel="1" x14ac:dyDescent="0.2">
      <c r="A682" s="98"/>
      <c r="B682" s="119" t="s">
        <v>167</v>
      </c>
      <c r="C682" s="120" t="s">
        <v>11</v>
      </c>
      <c r="D682" s="121">
        <v>1140.48</v>
      </c>
      <c r="E682" s="121">
        <v>1140.48</v>
      </c>
      <c r="F682" s="50">
        <f t="shared" si="22"/>
        <v>0</v>
      </c>
    </row>
    <row r="683" spans="1:6" s="67" customFormat="1" outlineLevel="1" x14ac:dyDescent="0.2">
      <c r="A683" s="98"/>
      <c r="B683" s="119" t="s">
        <v>168</v>
      </c>
      <c r="C683" s="120" t="s">
        <v>11</v>
      </c>
      <c r="D683" s="121">
        <v>570.24</v>
      </c>
      <c r="E683" s="121">
        <v>570.24</v>
      </c>
      <c r="F683" s="50">
        <f t="shared" si="22"/>
        <v>0</v>
      </c>
    </row>
    <row r="684" spans="1:6" s="67" customFormat="1" outlineLevel="1" x14ac:dyDescent="0.2">
      <c r="A684" s="98"/>
      <c r="B684" s="119" t="s">
        <v>169</v>
      </c>
      <c r="C684" s="120" t="s">
        <v>11</v>
      </c>
      <c r="D684" s="121">
        <v>570.24</v>
      </c>
      <c r="E684" s="121">
        <v>570.24</v>
      </c>
      <c r="F684" s="50">
        <f t="shared" si="22"/>
        <v>0</v>
      </c>
    </row>
  </sheetData>
  <autoFilter ref="A13:F13" xr:uid="{00000000-0001-0000-0000-000000000000}"/>
  <mergeCells count="873">
    <mergeCell ref="A667:D667"/>
    <mergeCell ref="A509:B509"/>
    <mergeCell ref="A1:D1"/>
    <mergeCell ref="A2:D2"/>
    <mergeCell ref="A3:D3"/>
    <mergeCell ref="B6:D6"/>
    <mergeCell ref="B7:D7"/>
    <mergeCell ref="B8:D8"/>
    <mergeCell ref="B9:D9"/>
    <mergeCell ref="B507"/>
    <mergeCell ref="C507"/>
    <mergeCell ref="D507"/>
    <mergeCell ref="B506"/>
    <mergeCell ref="C506"/>
    <mergeCell ref="D506"/>
    <mergeCell ref="B505"/>
    <mergeCell ref="C505"/>
    <mergeCell ref="D505"/>
    <mergeCell ref="B504"/>
    <mergeCell ref="C504"/>
    <mergeCell ref="D504"/>
    <mergeCell ref="B502"/>
    <mergeCell ref="C502"/>
    <mergeCell ref="D502"/>
    <mergeCell ref="B499"/>
    <mergeCell ref="C499"/>
    <mergeCell ref="D499"/>
    <mergeCell ref="B498"/>
    <mergeCell ref="C498"/>
    <mergeCell ref="D498"/>
    <mergeCell ref="B497"/>
    <mergeCell ref="C497"/>
    <mergeCell ref="D497"/>
    <mergeCell ref="B496"/>
    <mergeCell ref="C496"/>
    <mergeCell ref="D496"/>
    <mergeCell ref="B494"/>
    <mergeCell ref="C494"/>
    <mergeCell ref="D494"/>
    <mergeCell ref="B491"/>
    <mergeCell ref="C491"/>
    <mergeCell ref="D491"/>
    <mergeCell ref="B490"/>
    <mergeCell ref="C490"/>
    <mergeCell ref="D490"/>
    <mergeCell ref="B489"/>
    <mergeCell ref="C489"/>
    <mergeCell ref="D489"/>
    <mergeCell ref="B488"/>
    <mergeCell ref="C488"/>
    <mergeCell ref="D488"/>
    <mergeCell ref="B486"/>
    <mergeCell ref="C486"/>
    <mergeCell ref="D486"/>
    <mergeCell ref="B483"/>
    <mergeCell ref="C483"/>
    <mergeCell ref="D483"/>
    <mergeCell ref="B480"/>
    <mergeCell ref="C480"/>
    <mergeCell ref="D480"/>
    <mergeCell ref="B475"/>
    <mergeCell ref="C475"/>
    <mergeCell ref="D475"/>
    <mergeCell ref="B471"/>
    <mergeCell ref="C471"/>
    <mergeCell ref="B469"/>
    <mergeCell ref="C469"/>
    <mergeCell ref="D469"/>
    <mergeCell ref="B479"/>
    <mergeCell ref="C479"/>
    <mergeCell ref="D479"/>
    <mergeCell ref="B478"/>
    <mergeCell ref="C478"/>
    <mergeCell ref="D478"/>
    <mergeCell ref="B477"/>
    <mergeCell ref="C477"/>
    <mergeCell ref="D477"/>
    <mergeCell ref="B465"/>
    <mergeCell ref="C465"/>
    <mergeCell ref="D465"/>
    <mergeCell ref="B462"/>
    <mergeCell ref="C462"/>
    <mergeCell ref="D462"/>
    <mergeCell ref="B461"/>
    <mergeCell ref="C461"/>
    <mergeCell ref="D461"/>
    <mergeCell ref="B460"/>
    <mergeCell ref="C460"/>
    <mergeCell ref="D460"/>
    <mergeCell ref="B459"/>
    <mergeCell ref="C459"/>
    <mergeCell ref="D459"/>
    <mergeCell ref="B458"/>
    <mergeCell ref="C458"/>
    <mergeCell ref="D458"/>
    <mergeCell ref="A456"/>
    <mergeCell ref="B456"/>
    <mergeCell ref="C456"/>
    <mergeCell ref="D456"/>
    <mergeCell ref="B453"/>
    <mergeCell ref="C453"/>
    <mergeCell ref="D453"/>
    <mergeCell ref="B452"/>
    <mergeCell ref="C452"/>
    <mergeCell ref="D452"/>
    <mergeCell ref="A454:B454"/>
    <mergeCell ref="B450"/>
    <mergeCell ref="C450"/>
    <mergeCell ref="D450"/>
    <mergeCell ref="B449"/>
    <mergeCell ref="C449"/>
    <mergeCell ref="D449"/>
    <mergeCell ref="B448"/>
    <mergeCell ref="C448"/>
    <mergeCell ref="D448"/>
    <mergeCell ref="B447"/>
    <mergeCell ref="C447"/>
    <mergeCell ref="D447"/>
    <mergeCell ref="B446"/>
    <mergeCell ref="C446"/>
    <mergeCell ref="D446"/>
    <mergeCell ref="B445"/>
    <mergeCell ref="C445"/>
    <mergeCell ref="D445"/>
    <mergeCell ref="B444"/>
    <mergeCell ref="C444"/>
    <mergeCell ref="D444"/>
    <mergeCell ref="B443"/>
    <mergeCell ref="C443"/>
    <mergeCell ref="D443"/>
    <mergeCell ref="B442"/>
    <mergeCell ref="C442"/>
    <mergeCell ref="D442"/>
    <mergeCell ref="B441"/>
    <mergeCell ref="C441"/>
    <mergeCell ref="D441"/>
    <mergeCell ref="B439"/>
    <mergeCell ref="C439"/>
    <mergeCell ref="D439"/>
    <mergeCell ref="B437"/>
    <mergeCell ref="C437"/>
    <mergeCell ref="D437"/>
    <mergeCell ref="B436"/>
    <mergeCell ref="C436"/>
    <mergeCell ref="D436"/>
    <mergeCell ref="B435"/>
    <mergeCell ref="C435"/>
    <mergeCell ref="D435"/>
    <mergeCell ref="B434"/>
    <mergeCell ref="C434"/>
    <mergeCell ref="D434"/>
    <mergeCell ref="B433"/>
    <mergeCell ref="C433"/>
    <mergeCell ref="D433"/>
    <mergeCell ref="B432"/>
    <mergeCell ref="C432"/>
    <mergeCell ref="D432"/>
    <mergeCell ref="B431"/>
    <mergeCell ref="C431"/>
    <mergeCell ref="D431"/>
    <mergeCell ref="B430"/>
    <mergeCell ref="C430"/>
    <mergeCell ref="D430"/>
    <mergeCell ref="B429"/>
    <mergeCell ref="C429"/>
    <mergeCell ref="D429"/>
    <mergeCell ref="B428"/>
    <mergeCell ref="C428"/>
    <mergeCell ref="D428"/>
    <mergeCell ref="B427"/>
    <mergeCell ref="C427"/>
    <mergeCell ref="D427"/>
    <mergeCell ref="B425"/>
    <mergeCell ref="C425"/>
    <mergeCell ref="D425"/>
    <mergeCell ref="B424"/>
    <mergeCell ref="C424"/>
    <mergeCell ref="D424"/>
    <mergeCell ref="B423"/>
    <mergeCell ref="C423"/>
    <mergeCell ref="D423"/>
    <mergeCell ref="B422"/>
    <mergeCell ref="C422"/>
    <mergeCell ref="D422"/>
    <mergeCell ref="B421"/>
    <mergeCell ref="C421"/>
    <mergeCell ref="D421"/>
    <mergeCell ref="B420"/>
    <mergeCell ref="C420"/>
    <mergeCell ref="D420"/>
    <mergeCell ref="B419"/>
    <mergeCell ref="C419"/>
    <mergeCell ref="D419"/>
    <mergeCell ref="B418"/>
    <mergeCell ref="C418"/>
    <mergeCell ref="D418"/>
    <mergeCell ref="B416"/>
    <mergeCell ref="C416"/>
    <mergeCell ref="D416"/>
    <mergeCell ref="B414"/>
    <mergeCell ref="C414"/>
    <mergeCell ref="D414"/>
    <mergeCell ref="B413"/>
    <mergeCell ref="C413"/>
    <mergeCell ref="D413"/>
    <mergeCell ref="B412"/>
    <mergeCell ref="C412"/>
    <mergeCell ref="D412"/>
    <mergeCell ref="B411"/>
    <mergeCell ref="C411"/>
    <mergeCell ref="D411"/>
    <mergeCell ref="B410"/>
    <mergeCell ref="C410"/>
    <mergeCell ref="D410"/>
    <mergeCell ref="A409"/>
    <mergeCell ref="B409"/>
    <mergeCell ref="C409"/>
    <mergeCell ref="D409"/>
    <mergeCell ref="B405"/>
    <mergeCell ref="C405"/>
    <mergeCell ref="D405"/>
    <mergeCell ref="B404"/>
    <mergeCell ref="C404"/>
    <mergeCell ref="D404"/>
    <mergeCell ref="A407:B407"/>
    <mergeCell ref="B403"/>
    <mergeCell ref="C403"/>
    <mergeCell ref="D403"/>
    <mergeCell ref="B402"/>
    <mergeCell ref="C402"/>
    <mergeCell ref="D402"/>
    <mergeCell ref="B400"/>
    <mergeCell ref="C400"/>
    <mergeCell ref="D400"/>
    <mergeCell ref="B397"/>
    <mergeCell ref="C397"/>
    <mergeCell ref="D397"/>
    <mergeCell ref="B396"/>
    <mergeCell ref="C396"/>
    <mergeCell ref="D396"/>
    <mergeCell ref="B395"/>
    <mergeCell ref="C395"/>
    <mergeCell ref="D395"/>
    <mergeCell ref="B394"/>
    <mergeCell ref="C394"/>
    <mergeCell ref="D394"/>
    <mergeCell ref="B393"/>
    <mergeCell ref="C393"/>
    <mergeCell ref="D393"/>
    <mergeCell ref="B391"/>
    <mergeCell ref="C391"/>
    <mergeCell ref="D391"/>
    <mergeCell ref="B388"/>
    <mergeCell ref="C388"/>
    <mergeCell ref="D388"/>
    <mergeCell ref="B387"/>
    <mergeCell ref="C387"/>
    <mergeCell ref="D387"/>
    <mergeCell ref="B386"/>
    <mergeCell ref="C386"/>
    <mergeCell ref="D386"/>
    <mergeCell ref="B385"/>
    <mergeCell ref="C385"/>
    <mergeCell ref="D385"/>
    <mergeCell ref="B383"/>
    <mergeCell ref="C383"/>
    <mergeCell ref="D383"/>
    <mergeCell ref="B380"/>
    <mergeCell ref="C380"/>
    <mergeCell ref="D380"/>
    <mergeCell ref="B379"/>
    <mergeCell ref="C379"/>
    <mergeCell ref="D379"/>
    <mergeCell ref="B378"/>
    <mergeCell ref="C378"/>
    <mergeCell ref="D378"/>
    <mergeCell ref="B377"/>
    <mergeCell ref="C377"/>
    <mergeCell ref="D377"/>
    <mergeCell ref="B376"/>
    <mergeCell ref="C376"/>
    <mergeCell ref="D376"/>
    <mergeCell ref="B375"/>
    <mergeCell ref="C375"/>
    <mergeCell ref="D375"/>
    <mergeCell ref="B373"/>
    <mergeCell ref="C373"/>
    <mergeCell ref="D373"/>
    <mergeCell ref="B370"/>
    <mergeCell ref="C370"/>
    <mergeCell ref="D370"/>
    <mergeCell ref="B369"/>
    <mergeCell ref="C369"/>
    <mergeCell ref="D369"/>
    <mergeCell ref="B368"/>
    <mergeCell ref="C368"/>
    <mergeCell ref="D368"/>
    <mergeCell ref="B367"/>
    <mergeCell ref="C367"/>
    <mergeCell ref="D367"/>
    <mergeCell ref="B365"/>
    <mergeCell ref="C365"/>
    <mergeCell ref="D365"/>
    <mergeCell ref="B364"/>
    <mergeCell ref="C364"/>
    <mergeCell ref="D364"/>
    <mergeCell ref="B363"/>
    <mergeCell ref="C363"/>
    <mergeCell ref="D363"/>
    <mergeCell ref="B362"/>
    <mergeCell ref="C362"/>
    <mergeCell ref="D362"/>
    <mergeCell ref="B361"/>
    <mergeCell ref="C361"/>
    <mergeCell ref="D361"/>
    <mergeCell ref="B360"/>
    <mergeCell ref="C360"/>
    <mergeCell ref="D360"/>
    <mergeCell ref="B358"/>
    <mergeCell ref="C358"/>
    <mergeCell ref="D358"/>
    <mergeCell ref="B357"/>
    <mergeCell ref="C357"/>
    <mergeCell ref="D357"/>
    <mergeCell ref="B352"/>
    <mergeCell ref="C352"/>
    <mergeCell ref="D352"/>
    <mergeCell ref="B348"/>
    <mergeCell ref="C348"/>
    <mergeCell ref="B346"/>
    <mergeCell ref="C346"/>
    <mergeCell ref="D346"/>
    <mergeCell ref="B356"/>
    <mergeCell ref="C356"/>
    <mergeCell ref="D356"/>
    <mergeCell ref="B355"/>
    <mergeCell ref="C355"/>
    <mergeCell ref="D355"/>
    <mergeCell ref="B354"/>
    <mergeCell ref="C354"/>
    <mergeCell ref="D354"/>
    <mergeCell ref="B342"/>
    <mergeCell ref="C342"/>
    <mergeCell ref="D342"/>
    <mergeCell ref="B338"/>
    <mergeCell ref="C338"/>
    <mergeCell ref="D338"/>
    <mergeCell ref="B337"/>
    <mergeCell ref="C337"/>
    <mergeCell ref="D337"/>
    <mergeCell ref="B336"/>
    <mergeCell ref="C336"/>
    <mergeCell ref="D336"/>
    <mergeCell ref="B335"/>
    <mergeCell ref="C335"/>
    <mergeCell ref="D335"/>
    <mergeCell ref="B334"/>
    <mergeCell ref="C334"/>
    <mergeCell ref="D334"/>
    <mergeCell ref="B333"/>
    <mergeCell ref="C333"/>
    <mergeCell ref="D333"/>
    <mergeCell ref="B332"/>
    <mergeCell ref="C332"/>
    <mergeCell ref="D332"/>
    <mergeCell ref="A331"/>
    <mergeCell ref="B331"/>
    <mergeCell ref="C331"/>
    <mergeCell ref="D331"/>
    <mergeCell ref="A329:B329"/>
    <mergeCell ref="B328"/>
    <mergeCell ref="C328"/>
    <mergeCell ref="D328"/>
    <mergeCell ref="B327"/>
    <mergeCell ref="C327"/>
    <mergeCell ref="D327"/>
    <mergeCell ref="B325"/>
    <mergeCell ref="C325"/>
    <mergeCell ref="D325"/>
    <mergeCell ref="B323"/>
    <mergeCell ref="C323"/>
    <mergeCell ref="D323"/>
    <mergeCell ref="B322"/>
    <mergeCell ref="C322"/>
    <mergeCell ref="D322"/>
    <mergeCell ref="B321"/>
    <mergeCell ref="C321"/>
    <mergeCell ref="D321"/>
    <mergeCell ref="B320"/>
    <mergeCell ref="C320"/>
    <mergeCell ref="D320"/>
    <mergeCell ref="B319"/>
    <mergeCell ref="C319"/>
    <mergeCell ref="D319"/>
    <mergeCell ref="B318"/>
    <mergeCell ref="C318"/>
    <mergeCell ref="D318"/>
    <mergeCell ref="B317"/>
    <mergeCell ref="C317"/>
    <mergeCell ref="D317"/>
    <mergeCell ref="B316"/>
    <mergeCell ref="C316"/>
    <mergeCell ref="D316"/>
    <mergeCell ref="B315"/>
    <mergeCell ref="C315"/>
    <mergeCell ref="D315"/>
    <mergeCell ref="B314"/>
    <mergeCell ref="C314"/>
    <mergeCell ref="D314"/>
    <mergeCell ref="B313"/>
    <mergeCell ref="C313"/>
    <mergeCell ref="D313"/>
    <mergeCell ref="B311"/>
    <mergeCell ref="C311"/>
    <mergeCell ref="D311"/>
    <mergeCell ref="B310"/>
    <mergeCell ref="C310"/>
    <mergeCell ref="D310"/>
    <mergeCell ref="B308"/>
    <mergeCell ref="C308"/>
    <mergeCell ref="D308"/>
    <mergeCell ref="B307"/>
    <mergeCell ref="C307"/>
    <mergeCell ref="D307"/>
    <mergeCell ref="B306"/>
    <mergeCell ref="C306"/>
    <mergeCell ref="D306"/>
    <mergeCell ref="B305"/>
    <mergeCell ref="C305"/>
    <mergeCell ref="D305"/>
    <mergeCell ref="B304"/>
    <mergeCell ref="C304"/>
    <mergeCell ref="D304"/>
    <mergeCell ref="B303"/>
    <mergeCell ref="C303"/>
    <mergeCell ref="D303"/>
    <mergeCell ref="B301"/>
    <mergeCell ref="C301"/>
    <mergeCell ref="D301"/>
    <mergeCell ref="B299"/>
    <mergeCell ref="C299"/>
    <mergeCell ref="D299"/>
    <mergeCell ref="B298"/>
    <mergeCell ref="C298"/>
    <mergeCell ref="D298"/>
    <mergeCell ref="B297"/>
    <mergeCell ref="C297"/>
    <mergeCell ref="D297"/>
    <mergeCell ref="B296"/>
    <mergeCell ref="C296"/>
    <mergeCell ref="D296"/>
    <mergeCell ref="B295"/>
    <mergeCell ref="C295"/>
    <mergeCell ref="D295"/>
    <mergeCell ref="A294"/>
    <mergeCell ref="B294"/>
    <mergeCell ref="C294"/>
    <mergeCell ref="D294"/>
    <mergeCell ref="B290"/>
    <mergeCell ref="C290"/>
    <mergeCell ref="D290"/>
    <mergeCell ref="A292:B292"/>
    <mergeCell ref="B289"/>
    <mergeCell ref="C289"/>
    <mergeCell ref="D289"/>
    <mergeCell ref="B288"/>
    <mergeCell ref="C288"/>
    <mergeCell ref="D288"/>
    <mergeCell ref="B287"/>
    <mergeCell ref="C287"/>
    <mergeCell ref="D287"/>
    <mergeCell ref="B285"/>
    <mergeCell ref="C285"/>
    <mergeCell ref="D285"/>
    <mergeCell ref="B282"/>
    <mergeCell ref="C282"/>
    <mergeCell ref="D282"/>
    <mergeCell ref="B281"/>
    <mergeCell ref="C281"/>
    <mergeCell ref="D281"/>
    <mergeCell ref="B280"/>
    <mergeCell ref="C280"/>
    <mergeCell ref="D280"/>
    <mergeCell ref="B279"/>
    <mergeCell ref="C279"/>
    <mergeCell ref="D279"/>
    <mergeCell ref="B277"/>
    <mergeCell ref="C277"/>
    <mergeCell ref="D277"/>
    <mergeCell ref="B274"/>
    <mergeCell ref="C274"/>
    <mergeCell ref="D274"/>
    <mergeCell ref="B273"/>
    <mergeCell ref="C273"/>
    <mergeCell ref="D273"/>
    <mergeCell ref="B272"/>
    <mergeCell ref="C272"/>
    <mergeCell ref="D272"/>
    <mergeCell ref="B270"/>
    <mergeCell ref="C270"/>
    <mergeCell ref="D270"/>
    <mergeCell ref="B267"/>
    <mergeCell ref="C267"/>
    <mergeCell ref="D267"/>
    <mergeCell ref="B264"/>
    <mergeCell ref="C264"/>
    <mergeCell ref="D264"/>
    <mergeCell ref="B263"/>
    <mergeCell ref="C263"/>
    <mergeCell ref="D263"/>
    <mergeCell ref="B262"/>
    <mergeCell ref="C262"/>
    <mergeCell ref="D262"/>
    <mergeCell ref="B261"/>
    <mergeCell ref="C261"/>
    <mergeCell ref="D261"/>
    <mergeCell ref="B260"/>
    <mergeCell ref="C260"/>
    <mergeCell ref="D260"/>
    <mergeCell ref="B258"/>
    <mergeCell ref="C258"/>
    <mergeCell ref="D258"/>
    <mergeCell ref="B255"/>
    <mergeCell ref="C255"/>
    <mergeCell ref="D255"/>
    <mergeCell ref="B252"/>
    <mergeCell ref="C252"/>
    <mergeCell ref="D252"/>
    <mergeCell ref="B251"/>
    <mergeCell ref="C251"/>
    <mergeCell ref="D251"/>
    <mergeCell ref="B250"/>
    <mergeCell ref="C250"/>
    <mergeCell ref="D250"/>
    <mergeCell ref="B249"/>
    <mergeCell ref="C249"/>
    <mergeCell ref="D249"/>
    <mergeCell ref="B247"/>
    <mergeCell ref="C247"/>
    <mergeCell ref="D247"/>
    <mergeCell ref="B246"/>
    <mergeCell ref="C246"/>
    <mergeCell ref="D246"/>
    <mergeCell ref="B245"/>
    <mergeCell ref="C245"/>
    <mergeCell ref="D245"/>
    <mergeCell ref="B244"/>
    <mergeCell ref="C244"/>
    <mergeCell ref="D244"/>
    <mergeCell ref="B243"/>
    <mergeCell ref="C243"/>
    <mergeCell ref="D243"/>
    <mergeCell ref="B242"/>
    <mergeCell ref="C242"/>
    <mergeCell ref="D242"/>
    <mergeCell ref="B240"/>
    <mergeCell ref="C240"/>
    <mergeCell ref="D240"/>
    <mergeCell ref="B239"/>
    <mergeCell ref="C239"/>
    <mergeCell ref="D239"/>
    <mergeCell ref="B238"/>
    <mergeCell ref="C238"/>
    <mergeCell ref="D238"/>
    <mergeCell ref="B237"/>
    <mergeCell ref="C237"/>
    <mergeCell ref="D237"/>
    <mergeCell ref="B236"/>
    <mergeCell ref="C236"/>
    <mergeCell ref="D236"/>
    <mergeCell ref="D228"/>
    <mergeCell ref="D226"/>
    <mergeCell ref="D222"/>
    <mergeCell ref="B235"/>
    <mergeCell ref="C235"/>
    <mergeCell ref="D235"/>
    <mergeCell ref="B234"/>
    <mergeCell ref="C234"/>
    <mergeCell ref="D234"/>
    <mergeCell ref="B232"/>
    <mergeCell ref="C232"/>
    <mergeCell ref="D232"/>
    <mergeCell ref="B219"/>
    <mergeCell ref="C219"/>
    <mergeCell ref="D219"/>
    <mergeCell ref="B218"/>
    <mergeCell ref="C218"/>
    <mergeCell ref="D218"/>
    <mergeCell ref="B217"/>
    <mergeCell ref="C217"/>
    <mergeCell ref="D217"/>
    <mergeCell ref="B216"/>
    <mergeCell ref="C216"/>
    <mergeCell ref="D216"/>
    <mergeCell ref="B215"/>
    <mergeCell ref="C215"/>
    <mergeCell ref="D215"/>
    <mergeCell ref="B214"/>
    <mergeCell ref="C214"/>
    <mergeCell ref="D214"/>
    <mergeCell ref="B213"/>
    <mergeCell ref="C213"/>
    <mergeCell ref="D213"/>
    <mergeCell ref="A211"/>
    <mergeCell ref="B211"/>
    <mergeCell ref="C211"/>
    <mergeCell ref="D211"/>
    <mergeCell ref="B207"/>
    <mergeCell ref="C207"/>
    <mergeCell ref="D207"/>
    <mergeCell ref="A209:B209"/>
    <mergeCell ref="B206"/>
    <mergeCell ref="C206"/>
    <mergeCell ref="D206"/>
    <mergeCell ref="B205"/>
    <mergeCell ref="C205"/>
    <mergeCell ref="D205"/>
    <mergeCell ref="B204"/>
    <mergeCell ref="C204"/>
    <mergeCell ref="D204"/>
    <mergeCell ref="B202"/>
    <mergeCell ref="C202"/>
    <mergeCell ref="D202"/>
    <mergeCell ref="B199"/>
    <mergeCell ref="C199"/>
    <mergeCell ref="D199"/>
    <mergeCell ref="B198"/>
    <mergeCell ref="C198"/>
    <mergeCell ref="D198"/>
    <mergeCell ref="B197"/>
    <mergeCell ref="C197"/>
    <mergeCell ref="D197"/>
    <mergeCell ref="B196"/>
    <mergeCell ref="C196"/>
    <mergeCell ref="D196"/>
    <mergeCell ref="B194"/>
    <mergeCell ref="C194"/>
    <mergeCell ref="D194"/>
    <mergeCell ref="B191"/>
    <mergeCell ref="C191"/>
    <mergeCell ref="D191"/>
    <mergeCell ref="B190"/>
    <mergeCell ref="C190"/>
    <mergeCell ref="D190"/>
    <mergeCell ref="B189"/>
    <mergeCell ref="C189"/>
    <mergeCell ref="D189"/>
    <mergeCell ref="B187"/>
    <mergeCell ref="C187"/>
    <mergeCell ref="D187"/>
    <mergeCell ref="B184"/>
    <mergeCell ref="C184"/>
    <mergeCell ref="D184"/>
    <mergeCell ref="B181"/>
    <mergeCell ref="C181"/>
    <mergeCell ref="D181"/>
    <mergeCell ref="B180"/>
    <mergeCell ref="C180"/>
    <mergeCell ref="D180"/>
    <mergeCell ref="B179"/>
    <mergeCell ref="C179"/>
    <mergeCell ref="D179"/>
    <mergeCell ref="B178"/>
    <mergeCell ref="C178"/>
    <mergeCell ref="D178"/>
    <mergeCell ref="B177"/>
    <mergeCell ref="C177"/>
    <mergeCell ref="D177"/>
    <mergeCell ref="B175"/>
    <mergeCell ref="C175"/>
    <mergeCell ref="D175"/>
    <mergeCell ref="B172"/>
    <mergeCell ref="C172"/>
    <mergeCell ref="D172"/>
    <mergeCell ref="B169"/>
    <mergeCell ref="C169"/>
    <mergeCell ref="D169"/>
    <mergeCell ref="B168"/>
    <mergeCell ref="C168"/>
    <mergeCell ref="D168"/>
    <mergeCell ref="B167"/>
    <mergeCell ref="C167"/>
    <mergeCell ref="D167"/>
    <mergeCell ref="B166"/>
    <mergeCell ref="C166"/>
    <mergeCell ref="D166"/>
    <mergeCell ref="B164"/>
    <mergeCell ref="C164"/>
    <mergeCell ref="D164"/>
    <mergeCell ref="B163"/>
    <mergeCell ref="C163"/>
    <mergeCell ref="D163"/>
    <mergeCell ref="B155"/>
    <mergeCell ref="B153"/>
    <mergeCell ref="C153"/>
    <mergeCell ref="D153"/>
    <mergeCell ref="B149"/>
    <mergeCell ref="C149"/>
    <mergeCell ref="D149"/>
    <mergeCell ref="B162"/>
    <mergeCell ref="C162"/>
    <mergeCell ref="D162"/>
    <mergeCell ref="B161"/>
    <mergeCell ref="C161"/>
    <mergeCell ref="D161"/>
    <mergeCell ref="B159"/>
    <mergeCell ref="C159"/>
    <mergeCell ref="D159"/>
    <mergeCell ref="B146"/>
    <mergeCell ref="C146"/>
    <mergeCell ref="D146"/>
    <mergeCell ref="B145"/>
    <mergeCell ref="C145"/>
    <mergeCell ref="D145"/>
    <mergeCell ref="B144"/>
    <mergeCell ref="C144"/>
    <mergeCell ref="D144"/>
    <mergeCell ref="B143"/>
    <mergeCell ref="C143"/>
    <mergeCell ref="D143"/>
    <mergeCell ref="B142"/>
    <mergeCell ref="C142"/>
    <mergeCell ref="D142"/>
    <mergeCell ref="B141"/>
    <mergeCell ref="C141"/>
    <mergeCell ref="D141"/>
    <mergeCell ref="A139"/>
    <mergeCell ref="B139"/>
    <mergeCell ref="C139"/>
    <mergeCell ref="D139"/>
    <mergeCell ref="B133"/>
    <mergeCell ref="C133"/>
    <mergeCell ref="D133"/>
    <mergeCell ref="B131"/>
    <mergeCell ref="C131"/>
    <mergeCell ref="D131"/>
    <mergeCell ref="A137:B137"/>
    <mergeCell ref="C130"/>
    <mergeCell ref="D130"/>
    <mergeCell ref="C129"/>
    <mergeCell ref="D129"/>
    <mergeCell ref="B128"/>
    <mergeCell ref="C128"/>
    <mergeCell ref="D128"/>
    <mergeCell ref="B126"/>
    <mergeCell ref="C126"/>
    <mergeCell ref="D126"/>
    <mergeCell ref="C125"/>
    <mergeCell ref="D125"/>
    <mergeCell ref="C124"/>
    <mergeCell ref="D124"/>
    <mergeCell ref="B123"/>
    <mergeCell ref="C123"/>
    <mergeCell ref="D123"/>
    <mergeCell ref="B121"/>
    <mergeCell ref="C121"/>
    <mergeCell ref="D121"/>
    <mergeCell ref="B118"/>
    <mergeCell ref="C118"/>
    <mergeCell ref="D118"/>
    <mergeCell ref="B117"/>
    <mergeCell ref="C117"/>
    <mergeCell ref="D117"/>
    <mergeCell ref="B116"/>
    <mergeCell ref="C116"/>
    <mergeCell ref="D116"/>
    <mergeCell ref="B115"/>
    <mergeCell ref="C115"/>
    <mergeCell ref="D115"/>
    <mergeCell ref="B113"/>
    <mergeCell ref="C113"/>
    <mergeCell ref="D113"/>
    <mergeCell ref="B109"/>
    <mergeCell ref="C109"/>
    <mergeCell ref="D109"/>
    <mergeCell ref="B104"/>
    <mergeCell ref="C104"/>
    <mergeCell ref="D104"/>
    <mergeCell ref="A102"/>
    <mergeCell ref="B102"/>
    <mergeCell ref="C102"/>
    <mergeCell ref="B96"/>
    <mergeCell ref="C96"/>
    <mergeCell ref="D96"/>
    <mergeCell ref="B94"/>
    <mergeCell ref="C94"/>
    <mergeCell ref="D94"/>
    <mergeCell ref="A100:B100"/>
    <mergeCell ref="B93"/>
    <mergeCell ref="C93"/>
    <mergeCell ref="D93"/>
    <mergeCell ref="B92"/>
    <mergeCell ref="C92"/>
    <mergeCell ref="D92"/>
    <mergeCell ref="B91"/>
    <mergeCell ref="C91"/>
    <mergeCell ref="D91"/>
    <mergeCell ref="B90"/>
    <mergeCell ref="C90"/>
    <mergeCell ref="D90"/>
    <mergeCell ref="B88"/>
    <mergeCell ref="C88"/>
    <mergeCell ref="D88"/>
    <mergeCell ref="B86"/>
    <mergeCell ref="C86"/>
    <mergeCell ref="D86"/>
    <mergeCell ref="B85"/>
    <mergeCell ref="C85"/>
    <mergeCell ref="D85"/>
    <mergeCell ref="B84"/>
    <mergeCell ref="C84"/>
    <mergeCell ref="D84"/>
    <mergeCell ref="B83"/>
    <mergeCell ref="C83"/>
    <mergeCell ref="D83"/>
    <mergeCell ref="B81"/>
    <mergeCell ref="C81"/>
    <mergeCell ref="D81"/>
    <mergeCell ref="B75"/>
    <mergeCell ref="C75"/>
    <mergeCell ref="D75"/>
    <mergeCell ref="B73"/>
    <mergeCell ref="C73"/>
    <mergeCell ref="D73"/>
    <mergeCell ref="B71"/>
    <mergeCell ref="C71"/>
    <mergeCell ref="D71"/>
    <mergeCell ref="A69"/>
    <mergeCell ref="B69"/>
    <mergeCell ref="C69"/>
    <mergeCell ref="D69"/>
    <mergeCell ref="B36"/>
    <mergeCell ref="C36"/>
    <mergeCell ref="D36"/>
    <mergeCell ref="A38:B38"/>
    <mergeCell ref="A54:B54"/>
    <mergeCell ref="A67:B67"/>
    <mergeCell ref="B35"/>
    <mergeCell ref="C35"/>
    <mergeCell ref="D35"/>
    <mergeCell ref="B34"/>
    <mergeCell ref="C34"/>
    <mergeCell ref="D34"/>
    <mergeCell ref="B33"/>
    <mergeCell ref="C33"/>
    <mergeCell ref="D33"/>
    <mergeCell ref="B32"/>
    <mergeCell ref="C32"/>
    <mergeCell ref="D32"/>
    <mergeCell ref="B31"/>
    <mergeCell ref="C31"/>
    <mergeCell ref="D31"/>
    <mergeCell ref="B30"/>
    <mergeCell ref="C30"/>
    <mergeCell ref="D30"/>
    <mergeCell ref="B29"/>
    <mergeCell ref="C29"/>
    <mergeCell ref="D29"/>
    <mergeCell ref="A16"/>
    <mergeCell ref="B16"/>
    <mergeCell ref="C16"/>
    <mergeCell ref="D16"/>
    <mergeCell ref="A4:D4"/>
    <mergeCell ref="A14:B14"/>
    <mergeCell ref="B27"/>
    <mergeCell ref="C27"/>
    <mergeCell ref="D27"/>
    <mergeCell ref="B23"/>
    <mergeCell ref="C23"/>
    <mergeCell ref="D23"/>
    <mergeCell ref="B18"/>
    <mergeCell ref="C18"/>
    <mergeCell ref="D18"/>
  </mergeCells>
  <phoneticPr fontId="1" type="noConversion"/>
  <conditionalFormatting sqref="F15:F684">
    <cfRule type="cellIs" dxfId="2" priority="1" operator="lessThan">
      <formula>0</formula>
    </cfRule>
    <cfRule type="cellIs" dxfId="1" priority="2" operator="greaterThan">
      <formula>0</formula>
    </cfRule>
    <cfRule type="cellIs" dxfId="0" priority="3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для тендера</vt:lpstr>
      <vt:lpstr>Вариант для импорта</vt:lpstr>
      <vt:lpstr>'для тендера'!Область_печати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2025-05-22T12:58:03Z</dcterms:created>
  <dcterms:modified xsi:type="dcterms:W3CDTF">2025-09-04T10:42:09Z</dcterms:modified>
</cp:coreProperties>
</file>