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Департамент строительства Термы\СТО\Термы_Смоленск\сметы тендер\883_вынос инж.сетей\"/>
    </mc:Choice>
  </mc:AlternateContent>
  <xr:revisionPtr revIDLastSave="0" documentId="13_ncr:1_{A3CB8BFD-3524-4015-B783-475930770E3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ВОР 07.07.25" sheetId="1" r:id="rId1"/>
  </sheets>
  <definedNames>
    <definedName name="_xlnm._FilterDatabase" localSheetId="0" hidden="1">'ВОР 07.07.25'!$A$8:$D$429</definedName>
    <definedName name="_xlnm.Print_Area" localSheetId="0">'ВОР 07.07.25'!$A$1:$D$429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2" i="1" l="1"/>
  <c r="D252" i="1"/>
  <c r="D370" i="1" l="1"/>
  <c r="D347" i="1"/>
  <c r="D237" i="1"/>
  <c r="D417" i="1" l="1"/>
  <c r="D412" i="1"/>
  <c r="D411" i="1"/>
  <c r="D409" i="1"/>
  <c r="D410" i="1"/>
  <c r="D415" i="1"/>
  <c r="D408" i="1"/>
  <c r="D344" i="1"/>
  <c r="D338" i="1"/>
  <c r="D339" i="1"/>
  <c r="D337" i="1"/>
  <c r="D342" i="1"/>
  <c r="D336" i="1"/>
  <c r="D333" i="1"/>
  <c r="D330" i="1"/>
  <c r="D329" i="1"/>
  <c r="D405" i="1"/>
  <c r="D404" i="1"/>
  <c r="D403" i="1"/>
  <c r="D402" i="1"/>
  <c r="D401" i="1"/>
  <c r="D400" i="1"/>
  <c r="D332" i="1"/>
  <c r="D331" i="1"/>
  <c r="D205" i="1"/>
  <c r="D180" i="1"/>
  <c r="D227" i="1"/>
  <c r="D231" i="1"/>
  <c r="D230" i="1"/>
  <c r="D226" i="1"/>
  <c r="D214" i="1"/>
  <c r="D212" i="1"/>
  <c r="D209" i="1"/>
  <c r="D215" i="1"/>
  <c r="D211" i="1"/>
  <c r="D207" i="1"/>
  <c r="D193" i="1"/>
  <c r="D195" i="1" s="1"/>
  <c r="D185" i="1"/>
  <c r="D204" i="1"/>
  <c r="D196" i="1"/>
  <c r="D182" i="1"/>
  <c r="D178" i="1"/>
  <c r="D174" i="1"/>
  <c r="D173" i="1"/>
  <c r="D169" i="1"/>
  <c r="D159" i="1"/>
  <c r="D158" i="1" s="1"/>
  <c r="D419" i="1"/>
  <c r="D236" i="1"/>
  <c r="D235" i="1"/>
  <c r="D233" i="1"/>
  <c r="D183" i="1"/>
  <c r="D224" i="1"/>
  <c r="D221" i="1"/>
  <c r="D223" i="1"/>
  <c r="D220" i="1"/>
  <c r="D222" i="1"/>
  <c r="D168" i="1"/>
  <c r="D167" i="1"/>
  <c r="D49" i="1"/>
  <c r="D24" i="1"/>
  <c r="D399" i="1" l="1"/>
  <c r="D328" i="1"/>
  <c r="D184" i="1"/>
  <c r="D162" i="1"/>
  <c r="D160" i="1"/>
  <c r="D161" i="1" s="1"/>
  <c r="D170" i="1"/>
  <c r="D171" i="1"/>
  <c r="D143" i="1"/>
  <c r="D138" i="1"/>
  <c r="D126" i="1"/>
  <c r="D116" i="1"/>
  <c r="D153" i="1"/>
  <c r="D105" i="1"/>
  <c r="D100" i="1"/>
  <c r="D98" i="1"/>
  <c r="D91" i="1"/>
  <c r="D90" i="1" s="1"/>
  <c r="D45" i="1"/>
  <c r="D47" i="1" s="1"/>
  <c r="D43" i="1"/>
  <c r="D44" i="1" s="1"/>
  <c r="D96" i="1" l="1"/>
  <c r="D36" i="1"/>
  <c r="D34" i="1"/>
  <c r="D30" i="1"/>
  <c r="D31" i="1" s="1"/>
  <c r="D22" i="1"/>
  <c r="D23" i="1" s="1"/>
  <c r="D20" i="1"/>
  <c r="D17" i="1"/>
  <c r="D13" i="1"/>
  <c r="D12" i="1"/>
  <c r="D146" i="1"/>
  <c r="D89" i="1"/>
  <c r="D88" i="1"/>
  <c r="D79" i="1"/>
  <c r="D78" i="1"/>
  <c r="D69" i="1"/>
  <c r="D68" i="1"/>
  <c r="D58" i="1"/>
  <c r="D59" i="1" s="1"/>
  <c r="D14" i="1" l="1"/>
  <c r="D18" i="1" l="1"/>
  <c r="D15" i="1"/>
  <c r="D102" i="1" l="1"/>
  <c r="D101" i="1"/>
  <c r="D99" i="1"/>
</calcChain>
</file>

<file path=xl/sharedStrings.xml><?xml version="1.0" encoding="utf-8"?>
<sst xmlns="http://schemas.openxmlformats.org/spreadsheetml/2006/main" count="889" uniqueCount="296">
  <si>
    <t>м3</t>
  </si>
  <si>
    <t>№ п/п</t>
  </si>
  <si>
    <t>Наименование</t>
  </si>
  <si>
    <t>Ед. изм.</t>
  </si>
  <si>
    <t>Кол-во</t>
  </si>
  <si>
    <t>Основание:</t>
  </si>
  <si>
    <t>м2</t>
  </si>
  <si>
    <t>1.</t>
  </si>
  <si>
    <t>1.1.</t>
  </si>
  <si>
    <t>1.2.</t>
  </si>
  <si>
    <t>1.3.</t>
  </si>
  <si>
    <t>2.</t>
  </si>
  <si>
    <t>3.</t>
  </si>
  <si>
    <t>3.1.</t>
  </si>
  <si>
    <t>3.2.</t>
  </si>
  <si>
    <t>Вынос инженерных сетей из пятна застройки</t>
  </si>
  <si>
    <t>тн</t>
  </si>
  <si>
    <t xml:space="preserve">Перевозка мусора на расстояние 7 км с утилизацией </t>
  </si>
  <si>
    <t>3.3.</t>
  </si>
  <si>
    <t>м</t>
  </si>
  <si>
    <t>Демонтаж асфальтобетонного покрытия мех способом V-167 м2, толщиной 0,06 м</t>
  </si>
  <si>
    <t>I.</t>
  </si>
  <si>
    <t>шт</t>
  </si>
  <si>
    <t>кг</t>
  </si>
  <si>
    <t>пм</t>
  </si>
  <si>
    <t>Гидравлическое испытание трубопровода</t>
  </si>
  <si>
    <t>Гидроизоляция колодцев обмазочная в 2 слоя</t>
  </si>
  <si>
    <t>Муфта защитная для прохода через ж/б колодец ПЭ 100 SDR11 Ду160 мм</t>
  </si>
  <si>
    <t>Муфта защитная для прохода через ж/б колодец ПЭ 100 SDR11 Дн560 мм</t>
  </si>
  <si>
    <t>Люк тип "Т" (С250) "Стилот" тяжелый</t>
  </si>
  <si>
    <t>Закрытый способ ННБ от кол. 1-кол. 2, труба ПЭ100 SDR11 315*28,6 -длина трубы 39,0 м в футляре ПЭ100  SDR11 560*50,8, длина футляра 37,0 м</t>
  </si>
  <si>
    <t xml:space="preserve">Закрытый способ ННБ от кол. 3-кол. 5, труба ПЭ100 SDR11 315*28,6 -длина трубы 56,0 м </t>
  </si>
  <si>
    <t xml:space="preserve">Труба ПЭ100 SDR11 315*28,6 </t>
  </si>
  <si>
    <t xml:space="preserve">Прокладка труб водостока закрытым способом ННБ (наклонно-направленное бурение) </t>
  </si>
  <si>
    <t>Погрузка асфальтобетона и мусора в автосамосвалы  (вес 1м3-1,9 тн)</t>
  </si>
  <si>
    <t xml:space="preserve">Труба стальная б/у Д219 мм </t>
  </si>
  <si>
    <t xml:space="preserve">Уголок 50*5 мм </t>
  </si>
  <si>
    <t>Доска обрезная, сорт 2 толщ 0,04 м</t>
  </si>
  <si>
    <t>4.</t>
  </si>
  <si>
    <t>Рабочая часть КС 15.6 (1шт)</t>
  </si>
  <si>
    <t xml:space="preserve">Люк тип "Л" </t>
  </si>
  <si>
    <t xml:space="preserve">Закрытый способ ННБ от кол. 2-кол. 3, труба ПЭ100 SDR11 315*28,6 -длина трубы 5,0 м </t>
  </si>
  <si>
    <t>III.</t>
  </si>
  <si>
    <t>II.</t>
  </si>
  <si>
    <t>Демонтажные работы (под ННБ и устройство колодцев)</t>
  </si>
  <si>
    <t>Уголок 50*5 мм</t>
  </si>
  <si>
    <t>Доска обрезная толщ 40 мм, сорт 2</t>
  </si>
  <si>
    <t>Устройство колодцев Д1500 мм</t>
  </si>
  <si>
    <t>Днище ПН 15  (3 шт)</t>
  </si>
  <si>
    <t>Рабочая часть КС 15.9 (6 шт)</t>
  </si>
  <si>
    <t>Плита перекрытия 1ПП15-1 (3 шт)</t>
  </si>
  <si>
    <t>Горловина КО6 (3 шт)</t>
  </si>
  <si>
    <t>Люк тип "Т" (С250) "Стилот"</t>
  </si>
  <si>
    <t>Втулка под фланец ПЭ100 SDR17 Д160 мм</t>
  </si>
  <si>
    <t>Муфта защитная для прохода через ж/б колодец труб ПЭ  Д160 мм</t>
  </si>
  <si>
    <t>Задвижка чугуная короткая с обрезиненным клином Ду150 мм</t>
  </si>
  <si>
    <t>Подставка пожарная тройник  фланцевый чугунный ППТФ Д150 мм</t>
  </si>
  <si>
    <t>Заглушка Д150 мм</t>
  </si>
  <si>
    <t>Пожарный гидрант Д125 мм, высотой-1250 мм чугунный</t>
  </si>
  <si>
    <t>Фланец накидной Д160 мм</t>
  </si>
  <si>
    <t>Тройник ПЭ100 SDR17 160х160 мм</t>
  </si>
  <si>
    <t>Муфта соединение ПЭ/чуг. ПФРК Ду150 мм</t>
  </si>
  <si>
    <t>Труба ПЭ 100 SDR 17- Д160*9,5 мм (L-48 пм)</t>
  </si>
  <si>
    <t>Труба ПЭ 100 SDR 17- Д160*9,5 мм (L-36 пм)</t>
  </si>
  <si>
    <t>Труба ПЭ 100 SDR 17- Д160*9,5 мм (L-32 пм)</t>
  </si>
  <si>
    <t>Труба ПЭ100 SDR11 Д160*9,5 мм</t>
  </si>
  <si>
    <t>Прокладка труб методом ННБ от УП3-В2</t>
  </si>
  <si>
    <t>Прокладка труб методом ННБ от УП5-УП6</t>
  </si>
  <si>
    <t>Прокладка труб открытым способом от В1/ПГ1-УП2 (1м), В2-УП4 (4.0 м)</t>
  </si>
  <si>
    <t>6.</t>
  </si>
  <si>
    <t>Прокладка труб методом ННБ от УП6 - В3/ПГ2</t>
  </si>
  <si>
    <t>Труба ПЭ SDR11 Д250*22,7 мм</t>
  </si>
  <si>
    <t>Муфта электросварная ПЭ 100 SDR11 Дн250 мм (сварка труб по 12,0 м)</t>
  </si>
  <si>
    <t>Муфта электросварная ПЭ 100  SDR11 Дн560 мм (сварка труб по 12,0 м)</t>
  </si>
  <si>
    <t>Днище ПН 15  (9 шт)</t>
  </si>
  <si>
    <t>Рабочая часть КС 15.9 (23 шт)</t>
  </si>
  <si>
    <t>Плита перекрытия 1ПП15-1 (9 шт)</t>
  </si>
  <si>
    <t>Горловина КС 7-3 (7 шт)</t>
  </si>
  <si>
    <t>Горловина КО6 (9 шт)</t>
  </si>
  <si>
    <t>Прокладка труб канализации закрытым способом ННБ (наклонно-направленное бурение)</t>
  </si>
  <si>
    <t>Труба напорная полиэтиленовая SDR11, Дн-560*50,8 мм</t>
  </si>
  <si>
    <t>Труба напорная полиэтиленовая  ПЭ100 SDR11, Дн250 *22,7 мм</t>
  </si>
  <si>
    <t xml:space="preserve">Прокладка трубопроводов открытым способом (от кол 1-кол. 2, от кол 7- кол. 8, от кол.9-кол. 5) </t>
  </si>
  <si>
    <t>Труба ПЭ SDR11 Д160*14,6 мм</t>
  </si>
  <si>
    <t>Закрытый способ ННБ от кол. 5-до кол 6"сущ", труба ПЭ100 SDR11 315*28,6 -длина тр. 18,0 м</t>
  </si>
  <si>
    <t>Труба Д219 мм (3,7м*8)</t>
  </si>
  <si>
    <t>на выполнение работ: вынос инженерных сетей из пятна застройки. Наружные сети водопровода, хоз-бытовой канализации и  ливневой канализации.</t>
  </si>
  <si>
    <t>Демонтаж водопроводных колодцев ж/б Д1500 мм, глубина 2м -3 шт</t>
  </si>
  <si>
    <t>Установка полиэтиленовых фасонных частей: отводов, колен, патрубков, переходов</t>
  </si>
  <si>
    <t>Муфта полиэтиленовая электросварная, ПЭ100, SDR11, диаметр 160 мм</t>
  </si>
  <si>
    <t>Устройство подстилающих слоев из песка</t>
  </si>
  <si>
    <t>Песок природный для строительных работ II класс, средний</t>
  </si>
  <si>
    <t>Устройство подстилающих слоев из  ЩПГС</t>
  </si>
  <si>
    <t>Смесь щебеночно-песчаная готовая, щебень из гравия М 800, номер смеси С4, размер зерен 0-80 мм</t>
  </si>
  <si>
    <t>Устройство покрытия дорожек и тротуаров из горячих асфальтобетонных смесей асфальтоукладчиками первого типоразмера, толщина слоя 6 см</t>
  </si>
  <si>
    <t>Эмульсия битумно-дорожная</t>
  </si>
  <si>
    <t>т</t>
  </si>
  <si>
    <t>Смеси асфальтобетонные пористые крупнозернистые, марка I</t>
  </si>
  <si>
    <t>Устройство покрытия дорожек и тротуаров из горячих асфальтобетонных смесей асфальтоукладчиками первого типоразмера, толщина слоя 4 см</t>
  </si>
  <si>
    <t>Смеси асфальтобетонные плотные мелкозернистые, тип Б, марка II</t>
  </si>
  <si>
    <t>Восстановление покрытия из асфальтобетона</t>
  </si>
  <si>
    <t>5.</t>
  </si>
  <si>
    <t>Разборка асфальтового покрытия дорог толщиной 0,06 м без восстановления (6,25 м2х3 шт)</t>
  </si>
  <si>
    <t>4.1.</t>
  </si>
  <si>
    <t>компл.</t>
  </si>
  <si>
    <t>шт.</t>
  </si>
  <si>
    <t>Земляные работы под наружную хозяйственно-бытовую канализацию К1</t>
  </si>
  <si>
    <t>Демонтаж асфальтобетона под наружную хозяйственно-бытовую канализацию К1</t>
  </si>
  <si>
    <t>п.м.</t>
  </si>
  <si>
    <t>Демонтаж наружной ливневой канализации К2</t>
  </si>
  <si>
    <t>Демонтаж наружной хоз-бытовой канализации К1</t>
  </si>
  <si>
    <t>Вынос наружного водопровода ВЧШГ Д150 мм В1</t>
  </si>
  <si>
    <t>Демонтаж труб канализации</t>
  </si>
  <si>
    <t>Демонтаж чугунных труб Д150 мм</t>
  </si>
  <si>
    <t>Объект: «Семейный физкультурно-оздоровительный комплекс «Термолэнд-Дельфин»
по адресу: г. Смоленск, ул. Кутузова, д. 2Г</t>
  </si>
  <si>
    <t>Труба ПЭ 100 SDR 17- Д160*9,5 мм (L-11 пм)</t>
  </si>
  <si>
    <t>Начальная максимальная цена контракта (НМЦК)</t>
  </si>
  <si>
    <t>Прокладка труб открытым способом</t>
  </si>
  <si>
    <t>Демонтаж асфальтобетонного покрытия механизированным способом, толщиной 0,06 м</t>
  </si>
  <si>
    <t>Погрузка экскаватором ж/б лома в автосамосвалы (вес 1м3-2,4 тн)</t>
  </si>
  <si>
    <t>Погрузка экскаватором асфальтобетонного лома в автосамосвалы (вес 1м3-1,9 тн)</t>
  </si>
  <si>
    <t xml:space="preserve">Перевозка асфальтобетонного лома на расстояние 7 км с размещением на полигоне и утилизацией </t>
  </si>
  <si>
    <t xml:space="preserve">Перевозка ж/б лома на расст 34 км с размещением на полигоне и утилизацией </t>
  </si>
  <si>
    <t>Разборка трубопроводов водоснабжения из чугунных труб диаметром 150 мм</t>
  </si>
  <si>
    <t>Демонтаж задвижек Ду150 мм (58,0 кг/шт)</t>
  </si>
  <si>
    <t>Демонтаж тройника чугунного 150х 150 мм (61,6 кг), 1 шт.</t>
  </si>
  <si>
    <t>Погрузка экскаватором металлического лома в автосамосвалы (вес 1пм чуг трубы-34,7 кг/мп)</t>
  </si>
  <si>
    <t xml:space="preserve">Снятие плодородного слоя грунта бульдозером 59 кВт с перемещением на 10 м, группа грунта 2 </t>
  </si>
  <si>
    <t xml:space="preserve">Восстановление плодородного слоя грунта бульдозером 59 кВт с перемещением на 10 м, группа грунта 2 </t>
  </si>
  <si>
    <t xml:space="preserve">Разработка грунта под колодцы экскаватором с ковшом 0,5 м3 с погрузкой в автосамосвал, группа грунта 2 </t>
  </si>
  <si>
    <t>Доработка грунта котлованов под колодцы вручную с выкидкой грунта, группа грунта 2</t>
  </si>
  <si>
    <t>Погрузка лишнего грунта в автосамосвалы, группа грунта 2</t>
  </si>
  <si>
    <t>Перевозка грунта на расстояние до 10 км с размещением на полигоне и утилизацией</t>
  </si>
  <si>
    <t>Обратная засыпка песком вокруг колодцев бульдозерами 59 кВт с перемещением на 10 м, группа грунта 1</t>
  </si>
  <si>
    <t>Обратная засыпка песком вокруг колодцев вручную</t>
  </si>
  <si>
    <t>Песок строительный средний</t>
  </si>
  <si>
    <t>Планировка территории механизированным способом, группа грунта 2</t>
  </si>
  <si>
    <t xml:space="preserve">Устройство шпунтового ограждения котлованов под колодцы из стальных электросварных труб Д219*4 мм вдавливанием труб на глубину 0,7 м, с приваркой уголка 50*5 мм и креплением доски обрезной хвойных пород толщиной 40 мм сорт 2, группа грунта 2 </t>
  </si>
  <si>
    <t>Разработка грунта в отвал экскаватором с ковшом 0,25 м3, группа грунта 2</t>
  </si>
  <si>
    <t>Обратная засыпка грунта бульдозерами 59 кВт с перемещением на 5 м, группа грунта 2</t>
  </si>
  <si>
    <t>Прокладка труб методом ННБ от угла поворота УП2 до угла поворота УП3</t>
  </si>
  <si>
    <t>Гидравлическое испытание трубопровода диаметром 160 мм</t>
  </si>
  <si>
    <t>Промывка с дезинфекцией трубопровода диаметром 160 мм</t>
  </si>
  <si>
    <t>Прокладка трубы, в т.ч. гидравлическое испытание трубопровода</t>
  </si>
  <si>
    <t>Прокладка труб ННБ</t>
  </si>
  <si>
    <t>под колодцы</t>
  </si>
  <si>
    <t>котлованы под колодцы</t>
  </si>
  <si>
    <t>траншеи под трубы открытым способом</t>
  </si>
  <si>
    <t>Доработка грунта под траншею вручную, группа грунта 2</t>
  </si>
  <si>
    <t>Вывоз грунта автосамосвалами на 10 км на полигон для размещения и утилизации</t>
  </si>
  <si>
    <t>Обратная засыпка грунта бульдозерами 59 кВт с перемещением на 10 м, группа грунта 2</t>
  </si>
  <si>
    <t>Засыпка грунта вручную с уплотнением, группа грунта 1</t>
  </si>
  <si>
    <t>Уплотнение грунта пневматическими трамбовками, группа грунта 2</t>
  </si>
  <si>
    <t>Погрузка лишнего грунта экскаватором "обратная лопата" с ковшом 0,5 м3 в автосамосвал, группа грунта 2</t>
  </si>
  <si>
    <t>Стремянка С2( дл-2 м) (3 шт)</t>
  </si>
  <si>
    <t>Устройство круглых железобетонных колодцев</t>
  </si>
  <si>
    <t>Матика битумная для подземных конструкций холодная (расход 1 кг/м2)</t>
  </si>
  <si>
    <t>Установка чугунных задвижек в колодцах</t>
  </si>
  <si>
    <t>Установка фасонных чугунных частей в колодцах</t>
  </si>
  <si>
    <t>Установка гидрантов пожарных</t>
  </si>
  <si>
    <t>Запорная арматура и фасонные части Колодец В1/ПГ1</t>
  </si>
  <si>
    <t>Муфта соединительная электросварная ПЭ100 SDR17 Д160 мм</t>
  </si>
  <si>
    <t>Запорная арматура и фасонные части Колодец В2</t>
  </si>
  <si>
    <t>Установка полиэтиленовых фасонных тройников</t>
  </si>
  <si>
    <t>Запорная арматура и фасонные части Колодец В3/ПГ2</t>
  </si>
  <si>
    <t>2.5</t>
  </si>
  <si>
    <t>2.8.</t>
  </si>
  <si>
    <t>Муфта защитная для прохода через ж/б колодец ПЭ 100 SDR11 Ду315 мм</t>
  </si>
  <si>
    <t>Муфта защитная для прохода через ж/б колодец ПЭ 100 SDR11 Дн630 мм</t>
  </si>
  <si>
    <t>Муфта полиэтиленовая электросварная, ПЭ100, SDR11, диаметр 315 мм</t>
  </si>
  <si>
    <t>Муфта полиэтиленовая электросварная, ПЭ100, SDR11, диаметр 560 мм</t>
  </si>
  <si>
    <t>Муфта полиэтиленовая электросварная, ПЭ100, SDR11, диаметр 630 мм</t>
  </si>
  <si>
    <t>Закрытый способ ГНБ от кол. ДК1-кол. 1, труба ПЭ100 SDR11 315*28,6 -длина трубы 20,0 м</t>
  </si>
  <si>
    <t>Закрытый способ ГНБ от кол. ДК2-кол. 1, труба ПЭ100 SDR11 315*28,6 -длина трубы 8,0 м</t>
  </si>
  <si>
    <t>Труба ПЭ100 SDR11 560*50,8 (футляр)</t>
  </si>
  <si>
    <t>Закрытый способ ННБ от кол. ДК3-кол. 5, труба ПЭ100 SDR11 315*28,6 -длина трубы 5,0 м</t>
  </si>
  <si>
    <t>Труба ПЭ100 SDR11 630*57,2 мм</t>
  </si>
  <si>
    <t>Закрытый способ ННБ от кол. 10-кол. 11, труба ПЭ100 SDR11 630*57,2 -длина трубы 29,0</t>
  </si>
  <si>
    <t xml:space="preserve">Закрытый способ ННБ от кол. 11-кол. 12, труба ПЭ100 SDR11 630*57,2-длина трубы 54,0 </t>
  </si>
  <si>
    <t xml:space="preserve">Закрытый способ ННБ от кол. 12-кол. 13, труба ПЭ100 SDR11 630*57,2 -длина трубы  18,00 м </t>
  </si>
  <si>
    <t>Закрытый способ ННБ от кол. 13-кол. 6 сущ, труба ПЭ100 SDR11 630*57,2-длина трубы 12,0</t>
  </si>
  <si>
    <t>5.2.</t>
  </si>
  <si>
    <t>Труба ПЭ100 SDR11 315*28,7 мм</t>
  </si>
  <si>
    <t>Снятие и восстановление плодородного слоя грунта 125 м2*0,15м</t>
  </si>
  <si>
    <t>под трубы</t>
  </si>
  <si>
    <t>Разработка грунта под траншею экскаватором "обратная лопата" с ковшом 0,5 м3 в отвал, группа грунта 2</t>
  </si>
  <si>
    <t>Уплотнение грунта пневматическими трамбовками, группа грунта 1</t>
  </si>
  <si>
    <t>Обратная засыпка песком вокруг колодцев вручную с уплотнением</t>
  </si>
  <si>
    <t>Погрузка экскаватором металлического лома в автосамосвалы (вес 1пм чуг трубы-24,3 кг/мп)</t>
  </si>
  <si>
    <t>Перевозка металлического лома автосамосвалами на расстояние 7км</t>
  </si>
  <si>
    <t>Уплотнение грунта пневмотрамбовками, группа грунта 2</t>
  </si>
  <si>
    <t>Уплотнение грунта пневмотрамбовками, группа грунта 1</t>
  </si>
  <si>
    <t>Труба напорная полиэтиленовая ПЭ100 SDR11, Дн250 *22,7 мм</t>
  </si>
  <si>
    <t>Протаскивание в футляр полиэтиленовых труб ПЭ100 SDR11, Дн250 *22,7 мм</t>
  </si>
  <si>
    <t>Гидравлическое испытание трубопровода Дн250</t>
  </si>
  <si>
    <t xml:space="preserve">Закрытый способ ННБ от кол. К2-К4, труба ПЭ100 SDR11 250*22,7 -длина трассы 54 м, в футляре ПЭ100 SDR11 560*50,8 -длина футляра 54,0 м </t>
  </si>
  <si>
    <t>4.2.</t>
  </si>
  <si>
    <t>Закрытый способ ННБ от колодца К4 до колодца К7  Труба ПЭ100 SDR11 250х22,7 длина трассы 61,0 м «питьевая» в футляре  ПЭ100 SDR11 560х50,8 длина футляра 61,0 м.</t>
  </si>
  <si>
    <t>Монтаж установки ННБ</t>
  </si>
  <si>
    <t>Демонтаж установки ННБ</t>
  </si>
  <si>
    <t>Устройство закрытого подземного перехода способом ННБ для трубы ПЭ100 SDR17 160х9,5 48,0 м «питьевая», длина прокола 46,0 м, группа грунта 2</t>
  </si>
  <si>
    <t>Устройство закрытого подземного перехода способом ННБ для трубы ПЭ100 SDR17 160х9,5 36,0 м «питьевая», длина прокола 34,0 м, группа грунта 2</t>
  </si>
  <si>
    <t>Устройство закрытого подземного перехода способом ННБ для трубы ПЭ100 SDR17 160х9,5 32,0 м «питьевая», длина прокола 30,0 м, группа грунта 2</t>
  </si>
  <si>
    <t>Устройство закрытого подземного перехода способом ННБ для трубы ПЭ100 SDR17 160х9,5 13,0 м «питьевая», длина прокола 11,0 м, группа грунта 2</t>
  </si>
  <si>
    <t>Устройство закрытого подземного перехода способом ННБ для трубы SDR11, Дн-560*50,8 мм 56,0 м, длина прокола 54,0 м, группа грунта 2</t>
  </si>
  <si>
    <t>Устройство закрытого подземного перехода способом ННБ для трубы ПЭ100 SDR11 Дн250 *22,7 мм 63,0 м, длина прокола 61,0 м, группа грунта 2</t>
  </si>
  <si>
    <t>Укладка трубопроводов канализации ПЭ SDR11 Д250*22,7 мм с гидравлическим испытанием</t>
  </si>
  <si>
    <t>Укладка трубопроводов канализации ПЭ SDR11  Д160*14,6 мм с гидравлическим испытанием</t>
  </si>
  <si>
    <t>Труба ПЭ SDR11 Д560*50,8 мм (футляр 2м)</t>
  </si>
  <si>
    <t>Установка полиэтиленовых фасонных частей</t>
  </si>
  <si>
    <t>Укладка полиэтиленового футляра Д560</t>
  </si>
  <si>
    <t>Протаскивание в футляр ПЭ SDR11 Д250*22,7 мм</t>
  </si>
  <si>
    <t>Устройство круглых колодцев ж/б канализационных диаметром 1500 мм</t>
  </si>
  <si>
    <t>Стремянка тип С2( дл-2,0 м), 2 шт.</t>
  </si>
  <si>
    <t>Стремянка тип С3( дл-3,0 м), 7 шт.</t>
  </si>
  <si>
    <t>От колодца ДК1 до колодца 1,   Труба ПЭ100 SDR11 315х28,6 длина трубы 20,0 м</t>
  </si>
  <si>
    <t>От колодца ДК2 до колодца 1  Труба ПЭ100 SDR11 315х28,6 длина трубы 8,0 м</t>
  </si>
  <si>
    <t>От колодца 1 до колодца 2  Труба ПЭ100 SDR11 315х28,6 длина трубы 39,0 м в футляре ПЭ100 SDR11 560х50,8 длина футляра 37,0 м.</t>
  </si>
  <si>
    <t>От колодца 2 до колодца 3  Труба ПЭ100 SDR11 315х28,6 длина трубы 7,0 м в футляре ПЭ100 SDR11 560х50,8 длина футляра 5,0 м.</t>
  </si>
  <si>
    <t>От колодца 3 до колодца 5  Труба ПЭ100 SDR11 315х28,6 длина трубы 56,0 м</t>
  </si>
  <si>
    <t>От колодца ДК3 до колодца 5  Труба ПЭ100 SDR11 315х28,6 длина трубы 5,0 м</t>
  </si>
  <si>
    <t>От колодца 5 до существующего колодца "Сущ."  Труба ПЭ100 SDR11 315х28,6 длина трубы 18,0 м</t>
  </si>
  <si>
    <t>Устройство колодцев К2 Участок от ДК1 до 6Сущ.</t>
  </si>
  <si>
    <t>Колодцы. Канализация ливневая К2 Участок от 7 до 6Сущ.</t>
  </si>
  <si>
    <t>Устройство колодцев ж/б ливневых колодцев (смотровых) диаметром 1500 мм (5шт). Устройство дождеприемных колодцев h- 1530 мм (ДК1-ДК3), диаметром 1500 мм (3шт)</t>
  </si>
  <si>
    <t>Рабочая часть КС 15.9 (28шт)</t>
  </si>
  <si>
    <t>Горловина КС 7-3 (4шт)</t>
  </si>
  <si>
    <t>Днище ПН 15 (8 шт)</t>
  </si>
  <si>
    <t>Плита перекрытия 1ПП15-1 (8 шт)</t>
  </si>
  <si>
    <t>Горловина КО6 (12 шт)</t>
  </si>
  <si>
    <t>Рабочая часть КС 15.9 (16шт)</t>
  </si>
  <si>
    <t>Горловина КС 7-3 (8шт)</t>
  </si>
  <si>
    <t>Горловина КО6 (8 шт)</t>
  </si>
  <si>
    <t>Люк круглый дождеприемник ДК-1 (В125)</t>
  </si>
  <si>
    <t>Лоток  из ж/бетона (8шт) 0,55 м3*8</t>
  </si>
  <si>
    <t>Стремянка тип С1( дл-1,5 м), 3 шт.</t>
  </si>
  <si>
    <t>Стремянка тип С2( дл-2 м), 2 шт.</t>
  </si>
  <si>
    <t>Стремянка тип С3( дл-3,0 м), 3 шт.</t>
  </si>
  <si>
    <t>Открытая прокладка трубопровода. Канализация ливневая К2 Участок от 7 до 6 Сущ.</t>
  </si>
  <si>
    <t>Гидравлическое испытание трубопровода диаметром 630 мм</t>
  </si>
  <si>
    <t>Закрытый способ ННБ от кол. 8-кол. 9, труба ПЭ100 SDR11 630*57,2 -длина трубы 35,5 м</t>
  </si>
  <si>
    <t>Устройство колодцев ж/б ливневых колодцев (смотровых) диаметром 1500 мм (7шт). Устройство дождеприемных колодцев h- 1530 мм (ДК4), диаметром 1500 мм (1шт)</t>
  </si>
  <si>
    <t>Лоток из ж/бетона (16шт) 0,55*8</t>
  </si>
  <si>
    <t>Стремянка тип С7 (дл-3,3м), 2 шт.</t>
  </si>
  <si>
    <t>Стремянка тип С4( дл-2,6м), 2 шт.</t>
  </si>
  <si>
    <t>Стремянка тип С10 (дл-3,8м), 1 шт.</t>
  </si>
  <si>
    <t>Стремянка тип С12 (дл-5,2м), 3 шт.</t>
  </si>
  <si>
    <t>Открытая прокладка труб от кол. 9-кол. до кл. 10 Д630*57,2 мм,  от кол. 7 до кол. 8 Д630*57,2 мм с гидравлическими испытаниями</t>
  </si>
  <si>
    <t>3.4.</t>
  </si>
  <si>
    <t>5.1.</t>
  </si>
  <si>
    <t>3.5.</t>
  </si>
  <si>
    <t>3.6.</t>
  </si>
  <si>
    <t>3.7.</t>
  </si>
  <si>
    <t>6.1.</t>
  </si>
  <si>
    <t>6.2.</t>
  </si>
  <si>
    <t>6.3.</t>
  </si>
  <si>
    <t>6.4.</t>
  </si>
  <si>
    <t>6.5.</t>
  </si>
  <si>
    <t>7.</t>
  </si>
  <si>
    <t>8.</t>
  </si>
  <si>
    <t>7.1.</t>
  </si>
  <si>
    <t>7.2.</t>
  </si>
  <si>
    <t>8.1.</t>
  </si>
  <si>
    <t>8.2</t>
  </si>
  <si>
    <t>8.3.</t>
  </si>
  <si>
    <t>8.4.</t>
  </si>
  <si>
    <t>мп</t>
  </si>
  <si>
    <t>2.1</t>
  </si>
  <si>
    <t>под колодцы и трубы</t>
  </si>
  <si>
    <t>2.2</t>
  </si>
  <si>
    <t>2.3</t>
  </si>
  <si>
    <t>Разработка грунта под колодцы экскаватором с ковшом 0,5 м3 с погрузкой в автосамосвал, группа грунта 2 открытым способом</t>
  </si>
  <si>
    <t>2.4</t>
  </si>
  <si>
    <t>2.7</t>
  </si>
  <si>
    <t>2.8</t>
  </si>
  <si>
    <t>2.9</t>
  </si>
  <si>
    <t>Уплотнение грунта пневматическими трамбовками группа 1</t>
  </si>
  <si>
    <t>Устройство закрытого подземного перехода способом ННБ для трубы  ПЭ100 SDR11 315*28,6 «питьевая», длина прокола 18,0 м, группа грунта 2</t>
  </si>
  <si>
    <t>Гидравлическое испытание трубопровода диаметром 400 мм</t>
  </si>
  <si>
    <t>Гидравлическое испытание трубопровода диаметром до 400 мм</t>
  </si>
  <si>
    <t>Устройство закрытого подземного перехода способом ННБ для трубы  ПЭ100 SDR11 315*28,6 «питьевая», длина прокола 8,0 м, группа грунта 2</t>
  </si>
  <si>
    <t>Устройство закрытого подземного перехода способом ННБ для трубы  ПЭ100 SDR11 560*50,8 (футляр) , длина футляра 37,0 м, группа грунта 2</t>
  </si>
  <si>
    <t xml:space="preserve">Протаскивание в футляр ПЭ100 SDR11 315*28,6 </t>
  </si>
  <si>
    <t>Устройство закрытого подземного перехода способом ННБ для трубы  ПЭ100 SDR11 560*50,8 (футляр) , длина футляра 5,0 м, группа грунта 2</t>
  </si>
  <si>
    <t>Устройство закрытого подземного перехода способом ННБ для трубы  ПЭ100 SDR11 315*28,6 «питьевая», длина прокола 54,0 м, группа грунта 2</t>
  </si>
  <si>
    <t>Устройство закрытого подземного перехода способом ННБ для трубы  ПЭ100 SDR11 315*28,6 «питьевая», длина прокола 3,0 м, группа грунта 2</t>
  </si>
  <si>
    <t>Устройство закрытого подземного перехода способом ННБ для трубы  ПЭ100 SDR11 315*28,6 «питьевая», длина прокола 16,0 м, группа грунта 2</t>
  </si>
  <si>
    <t>Устройство закрытого подземного перехода способом ННБ для трубы  ПЭ100 SDR11 630*57,2 «питьевая», длина прокола 33,0 м, группа грунта 2</t>
  </si>
  <si>
    <t>Устройство закрытого подземного перехода способом ННБ для трубы  ПЭ100 SDR11 630*57,2 «питьевая», длина прокола 29,0 м, группа грунта 2</t>
  </si>
  <si>
    <t>Устройство закрытого подземного перехода способом ННБ для трубы  ПЭ100 SDR11 630*57,2 «питьевая», длина прокола 52,0 м, группа грунта 2</t>
  </si>
  <si>
    <t>Устройство закрытого подземного перехода способом ННБ для трубы  ПЭ100 SDR11 630*57,2 «питьевая», длина прокола 16,0 м, группа грунта 2</t>
  </si>
  <si>
    <t>Устройство закрытого подземного перехода способом ННБ для трубы  ПЭ100 SDR11 630*57,2 «питьевая», длина прокола 10,0 м, группа грунта 2</t>
  </si>
  <si>
    <t>Открытая прокладка труб от кол. 8 до кол. ДК4 - Д315*28,7 мм с гидравлическими испытаниями</t>
  </si>
  <si>
    <t>Прокладка труб методом ННБ. Канализация ливневая К2 Участок от 7 до 6 Сущ.</t>
  </si>
  <si>
    <t>Земляные работы под котлованы колодцев и трубы открытой прокладки</t>
  </si>
  <si>
    <t>Демонтаж асфальтобетона под ливневую канализацию 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</si>
</sst>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00"/>
    <numFmt numFmtId="166" formatCode="0.0"/>
    <numFmt numFmtId="167" formatCode="#,##0.000"/>
    <numFmt numFmtId="168" formatCode="#,##0.0000"/>
    <numFmt numFmtId="169" formatCode="0.00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4" fillId="0" borderId="0"/>
    <xf numFmtId="0" fontId="17" fillId="5" borderId="2">
      <alignment horizontal="left" vertical="center" wrapText="1"/>
    </xf>
    <xf numFmtId="0" fontId="17" fillId="0" borderId="2">
      <alignment horizontal="center" vertical="center" wrapText="1"/>
    </xf>
  </cellStyleXfs>
  <cellXfs count="190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wrapText="1"/>
    </xf>
    <xf numFmtId="164" fontId="1" fillId="4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167" fontId="1" fillId="0" borderId="1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6" fillId="5" borderId="2" xfId="3" applyFo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" fontId="6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" fontId="6" fillId="4" borderId="1" xfId="0" applyNumberFormat="1" applyFont="1" applyFill="1" applyBorder="1" applyAlignment="1">
      <alignment horizontal="center" vertical="center"/>
    </xf>
    <xf numFmtId="0" fontId="6" fillId="0" borderId="2" xfId="4" applyFo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/>
    </xf>
    <xf numFmtId="0" fontId="17" fillId="4" borderId="2" xfId="4" applyFill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2" fontId="6" fillId="0" borderId="2" xfId="4" applyNumberFormat="1" applyFo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7" fillId="5" borderId="2" xfId="3" applyFont="1">
      <alignment horizontal="left" vertical="center" wrapText="1"/>
    </xf>
    <xf numFmtId="0" fontId="7" fillId="0" borderId="2" xfId="4" applyFont="1">
      <alignment horizontal="center" vertical="center" wrapText="1"/>
    </xf>
    <xf numFmtId="2" fontId="7" fillId="0" borderId="2" xfId="4" applyNumberFormat="1" applyFo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8" fillId="4" borderId="1" xfId="0" applyNumberFormat="1" applyFont="1" applyFill="1" applyBorder="1" applyAlignment="1">
      <alignment horizontal="center" vertical="center"/>
    </xf>
    <xf numFmtId="0" fontId="8" fillId="5" borderId="6" xfId="3" applyFont="1" applyBorder="1">
      <alignment horizontal="left" vertical="center" wrapText="1"/>
    </xf>
    <xf numFmtId="0" fontId="6" fillId="0" borderId="5" xfId="4" applyFont="1" applyBorder="1">
      <alignment horizontal="center" vertical="center" wrapText="1"/>
    </xf>
    <xf numFmtId="2" fontId="6" fillId="0" borderId="5" xfId="4" applyNumberFormat="1" applyFont="1" applyBorder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166" fontId="6" fillId="0" borderId="2" xfId="4" applyNumberFormat="1" applyFo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8" fillId="4" borderId="2" xfId="4" applyFont="1" applyFill="1">
      <alignment horizontal="center" vertical="center" wrapText="1"/>
    </xf>
    <xf numFmtId="0" fontId="19" fillId="0" borderId="0" xfId="0" applyFont="1"/>
    <xf numFmtId="0" fontId="13" fillId="8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7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wrapText="1"/>
    </xf>
    <xf numFmtId="167" fontId="6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67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2" xfId="3" applyFont="1" applyFill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8" fontId="6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5" xfId="4" applyFont="1" applyFill="1" applyBorder="1">
      <alignment horizontal="center" vertical="center" wrapText="1"/>
    </xf>
    <xf numFmtId="2" fontId="6" fillId="0" borderId="5" xfId="4" applyNumberFormat="1" applyFont="1" applyFill="1" applyBorder="1">
      <alignment horizontal="center" vertical="center" wrapText="1"/>
    </xf>
    <xf numFmtId="0" fontId="6" fillId="0" borderId="2" xfId="4" applyFont="1" applyFill="1">
      <alignment horizontal="center" vertical="center" wrapText="1"/>
    </xf>
    <xf numFmtId="165" fontId="6" fillId="0" borderId="2" xfId="4" applyNumberFormat="1" applyFont="1" applyFill="1">
      <alignment horizontal="center" vertical="center" wrapText="1"/>
    </xf>
    <xf numFmtId="2" fontId="6" fillId="0" borderId="2" xfId="4" applyNumberFormat="1" applyFont="1" applyFill="1">
      <alignment horizontal="center" vertical="center" wrapText="1"/>
    </xf>
    <xf numFmtId="0" fontId="7" fillId="0" borderId="2" xfId="4" applyFont="1" applyFill="1">
      <alignment horizontal="center" vertical="center" wrapText="1"/>
    </xf>
    <xf numFmtId="2" fontId="7" fillId="0" borderId="2" xfId="4" applyNumberFormat="1" applyFont="1" applyFill="1">
      <alignment horizontal="center" vertical="center" wrapText="1"/>
    </xf>
    <xf numFmtId="166" fontId="6" fillId="0" borderId="2" xfId="4" applyNumberFormat="1" applyFont="1" applyFill="1">
      <alignment horizontal="center" vertical="center" wrapText="1"/>
    </xf>
    <xf numFmtId="165" fontId="7" fillId="0" borderId="2" xfId="4" applyNumberFormat="1" applyFont="1" applyFill="1">
      <alignment horizontal="center" vertical="center" wrapText="1"/>
    </xf>
    <xf numFmtId="169" fontId="7" fillId="0" borderId="2" xfId="4" applyNumberFormat="1" applyFont="1" applyFill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5">
    <cellStyle name="Normal" xfId="2" xr:uid="{FA60F43A-3D3F-4CDF-B04D-AAB87A931166}"/>
    <cellStyle name="vor_itm_table_style" xfId="4" xr:uid="{0C206894-9E12-4651-A2C0-86237FC1A636}"/>
    <cellStyle name="vor_itm_table_style_left" xfId="3" xr:uid="{75D79AED-F168-463F-BE1B-4F4FA2D04AB0}"/>
    <cellStyle name="Обычный" xfId="0" builtinId="0"/>
    <cellStyle name="Обычный 2 6" xfId="1" xr:uid="{AAD5B3BB-2837-4999-8AA3-A3597F9AB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429"/>
  <sheetViews>
    <sheetView tabSelected="1" view="pageBreakPreview" zoomScale="115" zoomScaleNormal="115" zoomScaleSheetLayoutView="115" workbookViewId="0">
      <selection activeCell="B401" sqref="B401"/>
    </sheetView>
  </sheetViews>
  <sheetFormatPr defaultRowHeight="12.75" outlineLevelRow="1" x14ac:dyDescent="0.25"/>
  <cols>
    <col min="1" max="1" width="6.5703125" style="5" bestFit="1" customWidth="1"/>
    <col min="2" max="2" width="80.5703125" style="20" customWidth="1"/>
    <col min="3" max="3" width="8.5703125" style="9" bestFit="1" customWidth="1"/>
    <col min="4" max="4" width="8" style="17" bestFit="1" customWidth="1"/>
    <col min="5" max="16384" width="9.140625" style="4"/>
  </cols>
  <sheetData>
    <row r="1" spans="1:4" ht="15.75" x14ac:dyDescent="0.25">
      <c r="A1" s="187" t="s">
        <v>116</v>
      </c>
      <c r="B1" s="187"/>
      <c r="C1" s="187"/>
      <c r="D1" s="187"/>
    </row>
    <row r="2" spans="1:4" ht="30.75" customHeight="1" x14ac:dyDescent="0.25">
      <c r="A2" s="187" t="s">
        <v>86</v>
      </c>
      <c r="B2" s="187"/>
      <c r="C2" s="187"/>
      <c r="D2" s="187"/>
    </row>
    <row r="3" spans="1:4" s="1" customFormat="1" ht="14.25" x14ac:dyDescent="0.25">
      <c r="A3" s="188"/>
      <c r="B3" s="188"/>
      <c r="C3" s="188"/>
      <c r="D3" s="188"/>
    </row>
    <row r="4" spans="1:4" s="15" customFormat="1" ht="26.25" customHeight="1" x14ac:dyDescent="0.25">
      <c r="A4" s="189" t="s">
        <v>114</v>
      </c>
      <c r="B4" s="189"/>
      <c r="C4" s="189"/>
      <c r="D4" s="189"/>
    </row>
    <row r="5" spans="1:4" s="16" customFormat="1" x14ac:dyDescent="0.25">
      <c r="A5" s="189"/>
      <c r="B5" s="189"/>
      <c r="C5" s="189"/>
      <c r="D5" s="189"/>
    </row>
    <row r="6" spans="1:4" x14ac:dyDescent="0.25">
      <c r="B6" s="20" t="s">
        <v>5</v>
      </c>
      <c r="D6" s="10"/>
    </row>
    <row r="8" spans="1:4" s="8" customFormat="1" ht="13.5" x14ac:dyDescent="0.25">
      <c r="A8" s="6" t="s">
        <v>1</v>
      </c>
      <c r="B8" s="7" t="s">
        <v>2</v>
      </c>
      <c r="C8" s="7" t="s">
        <v>3</v>
      </c>
      <c r="D8" s="18" t="s">
        <v>4</v>
      </c>
    </row>
    <row r="9" spans="1:4" s="13" customFormat="1" ht="13.5" x14ac:dyDescent="0.25">
      <c r="A9" s="11"/>
      <c r="B9" s="12" t="s">
        <v>15</v>
      </c>
      <c r="C9" s="11"/>
      <c r="D9" s="11"/>
    </row>
    <row r="10" spans="1:4" s="50" customFormat="1" x14ac:dyDescent="0.25">
      <c r="A10" s="19" t="s">
        <v>21</v>
      </c>
      <c r="B10" s="21" t="s">
        <v>111</v>
      </c>
      <c r="C10" s="19"/>
      <c r="D10" s="19"/>
    </row>
    <row r="11" spans="1:4" s="96" customFormat="1" x14ac:dyDescent="0.25">
      <c r="A11" s="137" t="s">
        <v>7</v>
      </c>
      <c r="B11" s="138" t="s">
        <v>44</v>
      </c>
      <c r="C11" s="137" t="s">
        <v>104</v>
      </c>
      <c r="D11" s="139">
        <v>1</v>
      </c>
    </row>
    <row r="12" spans="1:4" outlineLevel="1" x14ac:dyDescent="0.25">
      <c r="A12" s="141"/>
      <c r="B12" s="142" t="s">
        <v>118</v>
      </c>
      <c r="C12" s="128" t="s">
        <v>0</v>
      </c>
      <c r="D12" s="36">
        <f>24*0.06</f>
        <v>1.44</v>
      </c>
    </row>
    <row r="13" spans="1:4" outlineLevel="1" x14ac:dyDescent="0.25">
      <c r="A13" s="141"/>
      <c r="B13" s="144" t="s">
        <v>102</v>
      </c>
      <c r="C13" s="128" t="s">
        <v>0</v>
      </c>
      <c r="D13" s="36">
        <f>6.25*3*0.06</f>
        <v>1.125</v>
      </c>
    </row>
    <row r="14" spans="1:4" outlineLevel="1" x14ac:dyDescent="0.2">
      <c r="A14" s="141"/>
      <c r="B14" s="145" t="s">
        <v>120</v>
      </c>
      <c r="C14" s="128" t="s">
        <v>16</v>
      </c>
      <c r="D14" s="146">
        <f>(D12+D13)*1.9</f>
        <v>4.8734999999999999</v>
      </c>
    </row>
    <row r="15" spans="1:4" ht="15" customHeight="1" outlineLevel="1" x14ac:dyDescent="0.25">
      <c r="A15" s="147"/>
      <c r="B15" s="148" t="s">
        <v>121</v>
      </c>
      <c r="C15" s="149" t="s">
        <v>16</v>
      </c>
      <c r="D15" s="150">
        <f>D14</f>
        <v>4.8734999999999999</v>
      </c>
    </row>
    <row r="16" spans="1:4" outlineLevel="1" x14ac:dyDescent="0.25">
      <c r="A16" s="147"/>
      <c r="B16" s="151" t="s">
        <v>87</v>
      </c>
      <c r="C16" s="149" t="s">
        <v>0</v>
      </c>
      <c r="D16" s="152">
        <v>2.2599999999999998</v>
      </c>
    </row>
    <row r="17" spans="1:4" outlineLevel="1" x14ac:dyDescent="0.25">
      <c r="A17" s="147"/>
      <c r="B17" s="153" t="s">
        <v>119</v>
      </c>
      <c r="C17" s="128" t="s">
        <v>16</v>
      </c>
      <c r="D17" s="150">
        <f>0.226*10*2.4</f>
        <v>5.4240000000000004</v>
      </c>
    </row>
    <row r="18" spans="1:4" outlineLevel="1" x14ac:dyDescent="0.25">
      <c r="A18" s="147"/>
      <c r="B18" s="153" t="s">
        <v>122</v>
      </c>
      <c r="C18" s="149" t="s">
        <v>16</v>
      </c>
      <c r="D18" s="150">
        <f>D17</f>
        <v>5.4240000000000004</v>
      </c>
    </row>
    <row r="19" spans="1:4" outlineLevel="1" x14ac:dyDescent="0.25">
      <c r="A19" s="147"/>
      <c r="B19" s="154" t="s">
        <v>123</v>
      </c>
      <c r="C19" s="149" t="s">
        <v>19</v>
      </c>
      <c r="D19" s="152">
        <v>111.7</v>
      </c>
    </row>
    <row r="20" spans="1:4" outlineLevel="1" x14ac:dyDescent="0.25">
      <c r="A20" s="147"/>
      <c r="B20" s="153" t="s">
        <v>125</v>
      </c>
      <c r="C20" s="149" t="s">
        <v>96</v>
      </c>
      <c r="D20" s="155">
        <f>61.6/1000</f>
        <v>6.1600000000000002E-2</v>
      </c>
    </row>
    <row r="21" spans="1:4" outlineLevel="1" x14ac:dyDescent="0.25">
      <c r="A21" s="147"/>
      <c r="B21" s="153" t="s">
        <v>124</v>
      </c>
      <c r="C21" s="149" t="s">
        <v>22</v>
      </c>
      <c r="D21" s="156">
        <v>2</v>
      </c>
    </row>
    <row r="22" spans="1:4" outlineLevel="1" x14ac:dyDescent="0.25">
      <c r="A22" s="147"/>
      <c r="B22" s="153" t="s">
        <v>126</v>
      </c>
      <c r="C22" s="149" t="s">
        <v>16</v>
      </c>
      <c r="D22" s="155">
        <f>3.87599+0.0616+0.058*2</f>
        <v>4.0535899999999998</v>
      </c>
    </row>
    <row r="23" spans="1:4" outlineLevel="1" x14ac:dyDescent="0.25">
      <c r="A23" s="147"/>
      <c r="B23" s="153" t="s">
        <v>189</v>
      </c>
      <c r="C23" s="149" t="s">
        <v>16</v>
      </c>
      <c r="D23" s="155">
        <f>D22</f>
        <v>4.0535899999999998</v>
      </c>
    </row>
    <row r="24" spans="1:4" s="50" customFormat="1" x14ac:dyDescent="0.25">
      <c r="A24" s="22" t="s">
        <v>11</v>
      </c>
      <c r="B24" s="31" t="s">
        <v>294</v>
      </c>
      <c r="C24" s="137" t="s">
        <v>0</v>
      </c>
      <c r="D24" s="157">
        <f>SUM(D27:D28)+D29+D41+D42</f>
        <v>102.85</v>
      </c>
    </row>
    <row r="25" spans="1:4" s="50" customFormat="1" outlineLevel="1" x14ac:dyDescent="0.25">
      <c r="A25" s="22"/>
      <c r="B25" s="31" t="s">
        <v>146</v>
      </c>
      <c r="C25" s="22"/>
      <c r="D25" s="97"/>
    </row>
    <row r="26" spans="1:4" s="50" customFormat="1" outlineLevel="1" x14ac:dyDescent="0.25">
      <c r="A26" s="79"/>
      <c r="B26" s="142" t="s">
        <v>127</v>
      </c>
      <c r="C26" s="128" t="s">
        <v>0</v>
      </c>
      <c r="D26" s="128">
        <v>12.5</v>
      </c>
    </row>
    <row r="27" spans="1:4" s="50" customFormat="1" ht="28.5" customHeight="1" outlineLevel="1" x14ac:dyDescent="0.25">
      <c r="A27" s="79"/>
      <c r="B27" s="142" t="s">
        <v>128</v>
      </c>
      <c r="C27" s="128" t="s">
        <v>0</v>
      </c>
      <c r="D27" s="128">
        <v>12.5</v>
      </c>
    </row>
    <row r="28" spans="1:4" s="59" customFormat="1" ht="25.5" outlineLevel="1" x14ac:dyDescent="0.25">
      <c r="A28" s="57"/>
      <c r="B28" s="142" t="s">
        <v>129</v>
      </c>
      <c r="C28" s="128" t="s">
        <v>0</v>
      </c>
      <c r="D28" s="143">
        <v>75.3</v>
      </c>
    </row>
    <row r="29" spans="1:4" s="59" customFormat="1" outlineLevel="1" x14ac:dyDescent="0.25">
      <c r="A29" s="57"/>
      <c r="B29" s="142" t="s">
        <v>130</v>
      </c>
      <c r="C29" s="128" t="s">
        <v>0</v>
      </c>
      <c r="D29" s="36">
        <v>6.95</v>
      </c>
    </row>
    <row r="30" spans="1:4" s="59" customFormat="1" outlineLevel="1" x14ac:dyDescent="0.25">
      <c r="A30" s="57"/>
      <c r="B30" s="112" t="s">
        <v>131</v>
      </c>
      <c r="C30" s="128" t="s">
        <v>16</v>
      </c>
      <c r="D30" s="158">
        <f>D29*1.65</f>
        <v>11.467499999999999</v>
      </c>
    </row>
    <row r="31" spans="1:4" s="59" customFormat="1" outlineLevel="1" x14ac:dyDescent="0.25">
      <c r="A31" s="57"/>
      <c r="B31" s="112" t="s">
        <v>132</v>
      </c>
      <c r="C31" s="128" t="s">
        <v>16</v>
      </c>
      <c r="D31" s="158">
        <f>D28*1.65+D30</f>
        <v>135.71249999999998</v>
      </c>
    </row>
    <row r="32" spans="1:4" s="59" customFormat="1" ht="25.5" outlineLevel="1" x14ac:dyDescent="0.25">
      <c r="A32" s="57"/>
      <c r="B32" s="112" t="s">
        <v>133</v>
      </c>
      <c r="C32" s="128" t="s">
        <v>0</v>
      </c>
      <c r="D32" s="36">
        <v>62.6</v>
      </c>
    </row>
    <row r="33" spans="1:4" s="59" customFormat="1" outlineLevel="1" x14ac:dyDescent="0.25">
      <c r="A33" s="57"/>
      <c r="B33" s="112" t="s">
        <v>134</v>
      </c>
      <c r="C33" s="128" t="s">
        <v>0</v>
      </c>
      <c r="D33" s="36">
        <v>6.95</v>
      </c>
    </row>
    <row r="34" spans="1:4" s="59" customFormat="1" outlineLevel="1" x14ac:dyDescent="0.25">
      <c r="A34" s="57"/>
      <c r="B34" s="159" t="s">
        <v>135</v>
      </c>
      <c r="C34" s="160" t="s">
        <v>0</v>
      </c>
      <c r="D34" s="161">
        <f>(D32+D33)*1.1</f>
        <v>76.50500000000001</v>
      </c>
    </row>
    <row r="35" spans="1:4" s="59" customFormat="1" outlineLevel="1" x14ac:dyDescent="0.25">
      <c r="A35" s="57"/>
      <c r="B35" s="112" t="s">
        <v>191</v>
      </c>
      <c r="C35" s="128" t="s">
        <v>0</v>
      </c>
      <c r="D35" s="36">
        <v>62.6</v>
      </c>
    </row>
    <row r="36" spans="1:4" s="59" customFormat="1" ht="39.75" customHeight="1" outlineLevel="1" x14ac:dyDescent="0.25">
      <c r="A36" s="70"/>
      <c r="B36" s="112" t="s">
        <v>137</v>
      </c>
      <c r="C36" s="128" t="s">
        <v>96</v>
      </c>
      <c r="D36" s="36">
        <f>21.2*88.8</f>
        <v>1882.56</v>
      </c>
    </row>
    <row r="37" spans="1:4" s="59" customFormat="1" outlineLevel="1" x14ac:dyDescent="0.25">
      <c r="A37" s="57"/>
      <c r="B37" s="159" t="s">
        <v>85</v>
      </c>
      <c r="C37" s="160" t="s">
        <v>19</v>
      </c>
      <c r="D37" s="46">
        <v>88.8</v>
      </c>
    </row>
    <row r="38" spans="1:4" s="59" customFormat="1" outlineLevel="1" x14ac:dyDescent="0.25">
      <c r="A38" s="57"/>
      <c r="B38" s="159" t="s">
        <v>45</v>
      </c>
      <c r="C38" s="160" t="s">
        <v>23</v>
      </c>
      <c r="D38" s="161">
        <v>122.148</v>
      </c>
    </row>
    <row r="39" spans="1:4" s="59" customFormat="1" outlineLevel="1" x14ac:dyDescent="0.25">
      <c r="A39" s="65"/>
      <c r="B39" s="159" t="s">
        <v>46</v>
      </c>
      <c r="C39" s="160" t="s">
        <v>0</v>
      </c>
      <c r="D39" s="46">
        <v>6</v>
      </c>
    </row>
    <row r="40" spans="1:4" s="59" customFormat="1" outlineLevel="1" x14ac:dyDescent="0.25">
      <c r="A40" s="65"/>
      <c r="B40" s="101" t="s">
        <v>147</v>
      </c>
      <c r="C40" s="160"/>
      <c r="D40" s="46"/>
    </row>
    <row r="41" spans="1:4" s="59" customFormat="1" ht="25.5" customHeight="1" outlineLevel="1" x14ac:dyDescent="0.25">
      <c r="A41" s="70"/>
      <c r="B41" s="112" t="s">
        <v>185</v>
      </c>
      <c r="C41" s="160" t="s">
        <v>0</v>
      </c>
      <c r="D41" s="46">
        <v>7.94</v>
      </c>
    </row>
    <row r="42" spans="1:4" s="59" customFormat="1" outlineLevel="1" x14ac:dyDescent="0.25">
      <c r="A42" s="70"/>
      <c r="B42" s="112" t="s">
        <v>148</v>
      </c>
      <c r="C42" s="160" t="s">
        <v>0</v>
      </c>
      <c r="D42" s="46">
        <v>0.16</v>
      </c>
    </row>
    <row r="43" spans="1:4" s="59" customFormat="1" ht="27" customHeight="1" outlineLevel="1" x14ac:dyDescent="0.25">
      <c r="A43" s="70"/>
      <c r="B43" s="112" t="s">
        <v>153</v>
      </c>
      <c r="C43" s="160" t="s">
        <v>0</v>
      </c>
      <c r="D43" s="46">
        <f>1.44</f>
        <v>1.44</v>
      </c>
    </row>
    <row r="44" spans="1:4" s="59" customFormat="1" outlineLevel="1" x14ac:dyDescent="0.25">
      <c r="A44" s="70"/>
      <c r="B44" s="112" t="s">
        <v>149</v>
      </c>
      <c r="C44" s="160" t="s">
        <v>96</v>
      </c>
      <c r="D44" s="161">
        <f>D43*1.65</f>
        <v>2.3759999999999999</v>
      </c>
    </row>
    <row r="45" spans="1:4" s="59" customFormat="1" outlineLevel="1" x14ac:dyDescent="0.25">
      <c r="A45" s="70"/>
      <c r="B45" s="162" t="s">
        <v>150</v>
      </c>
      <c r="C45" s="160" t="s">
        <v>0</v>
      </c>
      <c r="D45" s="46">
        <f>D41</f>
        <v>7.94</v>
      </c>
    </row>
    <row r="46" spans="1:4" s="59" customFormat="1" outlineLevel="1" x14ac:dyDescent="0.25">
      <c r="A46" s="70"/>
      <c r="B46" s="112" t="s">
        <v>151</v>
      </c>
      <c r="C46" s="160" t="s">
        <v>0</v>
      </c>
      <c r="D46" s="46">
        <v>0.16</v>
      </c>
    </row>
    <row r="47" spans="1:4" s="59" customFormat="1" outlineLevel="1" x14ac:dyDescent="0.25">
      <c r="A47" s="70"/>
      <c r="B47" s="112" t="s">
        <v>152</v>
      </c>
      <c r="C47" s="160" t="s">
        <v>0</v>
      </c>
      <c r="D47" s="46">
        <f>D45</f>
        <v>7.94</v>
      </c>
    </row>
    <row r="48" spans="1:4" s="59" customFormat="1" outlineLevel="1" x14ac:dyDescent="0.25">
      <c r="A48" s="57"/>
      <c r="B48" s="112" t="s">
        <v>136</v>
      </c>
      <c r="C48" s="128" t="s">
        <v>6</v>
      </c>
      <c r="D48" s="36">
        <v>50</v>
      </c>
    </row>
    <row r="49" spans="1:4" s="59" customFormat="1" x14ac:dyDescent="0.25">
      <c r="A49" s="65" t="s">
        <v>12</v>
      </c>
      <c r="B49" s="101" t="s">
        <v>144</v>
      </c>
      <c r="C49" s="137" t="s">
        <v>19</v>
      </c>
      <c r="D49" s="140">
        <f>D50+D60+D70+D80</f>
        <v>119</v>
      </c>
    </row>
    <row r="50" spans="1:4" s="67" customFormat="1" outlineLevel="1" x14ac:dyDescent="0.25">
      <c r="A50" s="49"/>
      <c r="B50" s="84" t="s">
        <v>140</v>
      </c>
      <c r="C50" s="137" t="s">
        <v>19</v>
      </c>
      <c r="D50" s="164">
        <v>46</v>
      </c>
    </row>
    <row r="51" spans="1:4" s="59" customFormat="1" outlineLevel="1" x14ac:dyDescent="0.25">
      <c r="A51" s="49"/>
      <c r="B51" s="71" t="s">
        <v>138</v>
      </c>
      <c r="C51" s="128" t="s">
        <v>0</v>
      </c>
      <c r="D51" s="36">
        <v>6.5</v>
      </c>
    </row>
    <row r="52" spans="1:4" s="59" customFormat="1" outlineLevel="1" x14ac:dyDescent="0.25">
      <c r="A52" s="49"/>
      <c r="B52" s="71" t="s">
        <v>139</v>
      </c>
      <c r="C52" s="128" t="s">
        <v>0</v>
      </c>
      <c r="D52" s="36">
        <v>6.5</v>
      </c>
    </row>
    <row r="53" spans="1:4" s="59" customFormat="1" outlineLevel="1" x14ac:dyDescent="0.25">
      <c r="A53" s="49"/>
      <c r="B53" s="71" t="s">
        <v>190</v>
      </c>
      <c r="C53" s="128" t="s">
        <v>0</v>
      </c>
      <c r="D53" s="36">
        <v>6.5</v>
      </c>
    </row>
    <row r="54" spans="1:4" s="59" customFormat="1" outlineLevel="1" x14ac:dyDescent="0.25">
      <c r="A54" s="49"/>
      <c r="B54" s="108" t="s">
        <v>198</v>
      </c>
      <c r="C54" s="128" t="s">
        <v>22</v>
      </c>
      <c r="D54" s="36">
        <v>1</v>
      </c>
    </row>
    <row r="55" spans="1:4" s="59" customFormat="1" outlineLevel="1" x14ac:dyDescent="0.25">
      <c r="A55" s="49"/>
      <c r="B55" s="108" t="s">
        <v>199</v>
      </c>
      <c r="C55" s="128" t="s">
        <v>22</v>
      </c>
      <c r="D55" s="36">
        <v>1</v>
      </c>
    </row>
    <row r="56" spans="1:4" s="67" customFormat="1" ht="27.75" customHeight="1" outlineLevel="1" x14ac:dyDescent="0.25">
      <c r="A56" s="49"/>
      <c r="B56" s="108" t="s">
        <v>200</v>
      </c>
      <c r="C56" s="128" t="s">
        <v>19</v>
      </c>
      <c r="D56" s="36">
        <v>46</v>
      </c>
    </row>
    <row r="57" spans="1:4" s="67" customFormat="1" outlineLevel="1" x14ac:dyDescent="0.25">
      <c r="A57" s="49"/>
      <c r="B57" s="62" t="s">
        <v>62</v>
      </c>
      <c r="C57" s="160" t="s">
        <v>19</v>
      </c>
      <c r="D57" s="35">
        <v>48</v>
      </c>
    </row>
    <row r="58" spans="1:4" s="67" customFormat="1" outlineLevel="1" x14ac:dyDescent="0.25">
      <c r="A58" s="79"/>
      <c r="B58" s="107" t="s">
        <v>141</v>
      </c>
      <c r="C58" s="128" t="s">
        <v>19</v>
      </c>
      <c r="D58" s="129">
        <f>D57</f>
        <v>48</v>
      </c>
    </row>
    <row r="59" spans="1:4" s="67" customFormat="1" outlineLevel="1" x14ac:dyDescent="0.25">
      <c r="A59" s="49"/>
      <c r="B59" s="56" t="s">
        <v>142</v>
      </c>
      <c r="C59" s="128" t="s">
        <v>19</v>
      </c>
      <c r="D59" s="129">
        <f>D58</f>
        <v>48</v>
      </c>
    </row>
    <row r="60" spans="1:4" s="59" customFormat="1" outlineLevel="1" x14ac:dyDescent="0.25">
      <c r="A60" s="22"/>
      <c r="B60" s="84" t="s">
        <v>66</v>
      </c>
      <c r="C60" s="137" t="s">
        <v>19</v>
      </c>
      <c r="D60" s="163">
        <v>34</v>
      </c>
    </row>
    <row r="61" spans="1:4" s="59" customFormat="1" outlineLevel="1" x14ac:dyDescent="0.25">
      <c r="A61" s="49"/>
      <c r="B61" s="71" t="s">
        <v>138</v>
      </c>
      <c r="C61" s="128" t="s">
        <v>0</v>
      </c>
      <c r="D61" s="36">
        <v>6.5</v>
      </c>
    </row>
    <row r="62" spans="1:4" s="59" customFormat="1" outlineLevel="1" x14ac:dyDescent="0.25">
      <c r="A62" s="49"/>
      <c r="B62" s="71" t="s">
        <v>139</v>
      </c>
      <c r="C62" s="128" t="s">
        <v>0</v>
      </c>
      <c r="D62" s="36">
        <v>6.5</v>
      </c>
    </row>
    <row r="63" spans="1:4" s="59" customFormat="1" outlineLevel="1" x14ac:dyDescent="0.25">
      <c r="A63" s="49"/>
      <c r="B63" s="71" t="s">
        <v>190</v>
      </c>
      <c r="C63" s="128" t="s">
        <v>0</v>
      </c>
      <c r="D63" s="36">
        <v>6.5</v>
      </c>
    </row>
    <row r="64" spans="1:4" s="59" customFormat="1" outlineLevel="1" x14ac:dyDescent="0.25">
      <c r="A64" s="49"/>
      <c r="B64" s="108" t="s">
        <v>198</v>
      </c>
      <c r="C64" s="128" t="s">
        <v>22</v>
      </c>
      <c r="D64" s="36">
        <v>1</v>
      </c>
    </row>
    <row r="65" spans="1:4" s="59" customFormat="1" outlineLevel="1" x14ac:dyDescent="0.25">
      <c r="A65" s="49"/>
      <c r="B65" s="108" t="s">
        <v>199</v>
      </c>
      <c r="C65" s="128" t="s">
        <v>22</v>
      </c>
      <c r="D65" s="36">
        <v>1</v>
      </c>
    </row>
    <row r="66" spans="1:4" s="67" customFormat="1" ht="30.75" customHeight="1" outlineLevel="1" x14ac:dyDescent="0.25">
      <c r="A66" s="49"/>
      <c r="B66" s="71" t="s">
        <v>201</v>
      </c>
      <c r="C66" s="128" t="s">
        <v>19</v>
      </c>
      <c r="D66" s="36">
        <v>34</v>
      </c>
    </row>
    <row r="67" spans="1:4" s="67" customFormat="1" outlineLevel="1" x14ac:dyDescent="0.25">
      <c r="A67" s="49"/>
      <c r="B67" s="62" t="s">
        <v>63</v>
      </c>
      <c r="C67" s="160" t="s">
        <v>19</v>
      </c>
      <c r="D67" s="35">
        <v>36</v>
      </c>
    </row>
    <row r="68" spans="1:4" s="67" customFormat="1" outlineLevel="1" x14ac:dyDescent="0.25">
      <c r="A68" s="79"/>
      <c r="B68" s="107" t="s">
        <v>141</v>
      </c>
      <c r="C68" s="128" t="s">
        <v>19</v>
      </c>
      <c r="D68" s="129">
        <f>D67</f>
        <v>36</v>
      </c>
    </row>
    <row r="69" spans="1:4" s="67" customFormat="1" outlineLevel="1" x14ac:dyDescent="0.25">
      <c r="A69" s="49"/>
      <c r="B69" s="56" t="s">
        <v>142</v>
      </c>
      <c r="C69" s="128" t="s">
        <v>19</v>
      </c>
      <c r="D69" s="129">
        <f>D67</f>
        <v>36</v>
      </c>
    </row>
    <row r="70" spans="1:4" s="67" customFormat="1" ht="13.5" outlineLevel="1" x14ac:dyDescent="0.25">
      <c r="A70" s="49"/>
      <c r="B70" s="84" t="s">
        <v>67</v>
      </c>
      <c r="C70" s="165" t="s">
        <v>19</v>
      </c>
      <c r="D70" s="164">
        <v>30</v>
      </c>
    </row>
    <row r="71" spans="1:4" s="59" customFormat="1" outlineLevel="1" x14ac:dyDescent="0.25">
      <c r="A71" s="49"/>
      <c r="B71" s="71" t="s">
        <v>138</v>
      </c>
      <c r="C71" s="128" t="s">
        <v>0</v>
      </c>
      <c r="D71" s="36">
        <v>6.5</v>
      </c>
    </row>
    <row r="72" spans="1:4" s="59" customFormat="1" outlineLevel="1" x14ac:dyDescent="0.25">
      <c r="A72" s="49"/>
      <c r="B72" s="71" t="s">
        <v>139</v>
      </c>
      <c r="C72" s="128" t="s">
        <v>0</v>
      </c>
      <c r="D72" s="36">
        <v>6.5</v>
      </c>
    </row>
    <row r="73" spans="1:4" s="59" customFormat="1" outlineLevel="1" x14ac:dyDescent="0.25">
      <c r="A73" s="49"/>
      <c r="B73" s="71" t="s">
        <v>190</v>
      </c>
      <c r="C73" s="128" t="s">
        <v>0</v>
      </c>
      <c r="D73" s="36">
        <v>6.5</v>
      </c>
    </row>
    <row r="74" spans="1:4" s="59" customFormat="1" outlineLevel="1" x14ac:dyDescent="0.25">
      <c r="A74" s="49"/>
      <c r="B74" s="108" t="s">
        <v>198</v>
      </c>
      <c r="C74" s="128" t="s">
        <v>22</v>
      </c>
      <c r="D74" s="36">
        <v>1</v>
      </c>
    </row>
    <row r="75" spans="1:4" s="59" customFormat="1" outlineLevel="1" x14ac:dyDescent="0.25">
      <c r="A75" s="49"/>
      <c r="B75" s="108" t="s">
        <v>199</v>
      </c>
      <c r="C75" s="128" t="s">
        <v>22</v>
      </c>
      <c r="D75" s="36">
        <v>1</v>
      </c>
    </row>
    <row r="76" spans="1:4" s="67" customFormat="1" ht="29.25" customHeight="1" outlineLevel="1" x14ac:dyDescent="0.25">
      <c r="A76" s="49"/>
      <c r="B76" s="71" t="s">
        <v>202</v>
      </c>
      <c r="C76" s="128" t="s">
        <v>19</v>
      </c>
      <c r="D76" s="36">
        <v>30</v>
      </c>
    </row>
    <row r="77" spans="1:4" s="67" customFormat="1" outlineLevel="1" x14ac:dyDescent="0.25">
      <c r="A77" s="49"/>
      <c r="B77" s="62" t="s">
        <v>64</v>
      </c>
      <c r="C77" s="160" t="s">
        <v>19</v>
      </c>
      <c r="D77" s="35">
        <v>32</v>
      </c>
    </row>
    <row r="78" spans="1:4" s="67" customFormat="1" outlineLevel="1" x14ac:dyDescent="0.25">
      <c r="A78" s="79"/>
      <c r="B78" s="107" t="s">
        <v>141</v>
      </c>
      <c r="C78" s="128" t="s">
        <v>19</v>
      </c>
      <c r="D78" s="129">
        <f>D77</f>
        <v>32</v>
      </c>
    </row>
    <row r="79" spans="1:4" s="67" customFormat="1" outlineLevel="1" x14ac:dyDescent="0.25">
      <c r="A79" s="49"/>
      <c r="B79" s="56" t="s">
        <v>142</v>
      </c>
      <c r="C79" s="128" t="s">
        <v>19</v>
      </c>
      <c r="D79" s="129">
        <f>D77</f>
        <v>32</v>
      </c>
    </row>
    <row r="80" spans="1:4" s="67" customFormat="1" outlineLevel="1" x14ac:dyDescent="0.25">
      <c r="A80" s="49"/>
      <c r="B80" s="84" t="s">
        <v>70</v>
      </c>
      <c r="C80" s="137" t="s">
        <v>19</v>
      </c>
      <c r="D80" s="164">
        <v>9</v>
      </c>
    </row>
    <row r="81" spans="1:4" s="59" customFormat="1" outlineLevel="1" x14ac:dyDescent="0.25">
      <c r="A81" s="49"/>
      <c r="B81" s="71" t="s">
        <v>138</v>
      </c>
      <c r="C81" s="128" t="s">
        <v>0</v>
      </c>
      <c r="D81" s="36">
        <v>6.5</v>
      </c>
    </row>
    <row r="82" spans="1:4" s="59" customFormat="1" outlineLevel="1" x14ac:dyDescent="0.25">
      <c r="A82" s="49"/>
      <c r="B82" s="71" t="s">
        <v>139</v>
      </c>
      <c r="C82" s="128" t="s">
        <v>0</v>
      </c>
      <c r="D82" s="36">
        <v>6.5</v>
      </c>
    </row>
    <row r="83" spans="1:4" s="59" customFormat="1" outlineLevel="1" x14ac:dyDescent="0.25">
      <c r="A83" s="49"/>
      <c r="B83" s="71" t="s">
        <v>190</v>
      </c>
      <c r="C83" s="128" t="s">
        <v>0</v>
      </c>
      <c r="D83" s="36">
        <v>6.5</v>
      </c>
    </row>
    <row r="84" spans="1:4" s="59" customFormat="1" outlineLevel="1" x14ac:dyDescent="0.25">
      <c r="A84" s="49"/>
      <c r="B84" s="108" t="s">
        <v>198</v>
      </c>
      <c r="C84" s="128" t="s">
        <v>22</v>
      </c>
      <c r="D84" s="36">
        <v>1</v>
      </c>
    </row>
    <row r="85" spans="1:4" s="59" customFormat="1" outlineLevel="1" x14ac:dyDescent="0.25">
      <c r="A85" s="49"/>
      <c r="B85" s="108" t="s">
        <v>199</v>
      </c>
      <c r="C85" s="128" t="s">
        <v>22</v>
      </c>
      <c r="D85" s="36">
        <v>1</v>
      </c>
    </row>
    <row r="86" spans="1:4" s="67" customFormat="1" ht="27" customHeight="1" outlineLevel="1" x14ac:dyDescent="0.25">
      <c r="A86" s="49"/>
      <c r="B86" s="71" t="s">
        <v>203</v>
      </c>
      <c r="C86" s="128" t="s">
        <v>19</v>
      </c>
      <c r="D86" s="36">
        <v>11</v>
      </c>
    </row>
    <row r="87" spans="1:4" s="67" customFormat="1" outlineLevel="1" x14ac:dyDescent="0.25">
      <c r="A87" s="49"/>
      <c r="B87" s="62" t="s">
        <v>115</v>
      </c>
      <c r="C87" s="160" t="s">
        <v>19</v>
      </c>
      <c r="D87" s="35">
        <v>11</v>
      </c>
    </row>
    <row r="88" spans="1:4" s="67" customFormat="1" outlineLevel="1" x14ac:dyDescent="0.25">
      <c r="A88" s="79"/>
      <c r="B88" s="107" t="s">
        <v>141</v>
      </c>
      <c r="C88" s="128" t="s">
        <v>19</v>
      </c>
      <c r="D88" s="129">
        <f>D87</f>
        <v>11</v>
      </c>
    </row>
    <row r="89" spans="1:4" s="67" customFormat="1" outlineLevel="1" x14ac:dyDescent="0.25">
      <c r="A89" s="49"/>
      <c r="B89" s="56" t="s">
        <v>142</v>
      </c>
      <c r="C89" s="128" t="s">
        <v>19</v>
      </c>
      <c r="D89" s="129">
        <f>D87</f>
        <v>11</v>
      </c>
    </row>
    <row r="90" spans="1:4" s="59" customFormat="1" x14ac:dyDescent="0.25">
      <c r="A90" s="65" t="s">
        <v>38</v>
      </c>
      <c r="B90" s="101" t="s">
        <v>117</v>
      </c>
      <c r="C90" s="137" t="s">
        <v>19</v>
      </c>
      <c r="D90" s="163">
        <f>D91</f>
        <v>5</v>
      </c>
    </row>
    <row r="91" spans="1:4" s="59" customFormat="1" outlineLevel="1" x14ac:dyDescent="0.25">
      <c r="A91" s="65"/>
      <c r="B91" s="84" t="s">
        <v>68</v>
      </c>
      <c r="C91" s="137" t="s">
        <v>19</v>
      </c>
      <c r="D91" s="163">
        <f>D92</f>
        <v>5</v>
      </c>
    </row>
    <row r="92" spans="1:4" s="59" customFormat="1" outlineLevel="1" x14ac:dyDescent="0.25">
      <c r="A92" s="70"/>
      <c r="B92" s="60" t="s">
        <v>143</v>
      </c>
      <c r="C92" s="128" t="s">
        <v>19</v>
      </c>
      <c r="D92" s="36">
        <v>5</v>
      </c>
    </row>
    <row r="93" spans="1:4" s="67" customFormat="1" outlineLevel="1" x14ac:dyDescent="0.25">
      <c r="A93" s="57"/>
      <c r="B93" s="62" t="s">
        <v>65</v>
      </c>
      <c r="C93" s="160" t="s">
        <v>19</v>
      </c>
      <c r="D93" s="35">
        <v>5.04</v>
      </c>
    </row>
    <row r="94" spans="1:4" s="67" customFormat="1" outlineLevel="1" x14ac:dyDescent="0.25">
      <c r="A94" s="57"/>
      <c r="B94" s="56" t="s">
        <v>88</v>
      </c>
      <c r="C94" s="128" t="s">
        <v>22</v>
      </c>
      <c r="D94" s="129">
        <v>11</v>
      </c>
    </row>
    <row r="95" spans="1:4" s="67" customFormat="1" outlineLevel="1" x14ac:dyDescent="0.25">
      <c r="A95" s="63"/>
      <c r="B95" s="91" t="s">
        <v>89</v>
      </c>
      <c r="C95" s="160" t="s">
        <v>22</v>
      </c>
      <c r="D95" s="42">
        <v>11</v>
      </c>
    </row>
    <row r="96" spans="1:4" s="67" customFormat="1" outlineLevel="1" x14ac:dyDescent="0.25">
      <c r="A96" s="49"/>
      <c r="B96" s="56" t="s">
        <v>142</v>
      </c>
      <c r="C96" s="128" t="s">
        <v>19</v>
      </c>
      <c r="D96" s="129">
        <f>D92</f>
        <v>5</v>
      </c>
    </row>
    <row r="97" spans="1:4" s="67" customFormat="1" x14ac:dyDescent="0.25">
      <c r="A97" s="65" t="s">
        <v>101</v>
      </c>
      <c r="B97" s="66" t="s">
        <v>47</v>
      </c>
      <c r="C97" s="137" t="s">
        <v>105</v>
      </c>
      <c r="D97" s="166">
        <v>3</v>
      </c>
    </row>
    <row r="98" spans="1:4" s="67" customFormat="1" outlineLevel="1" x14ac:dyDescent="0.25">
      <c r="A98" s="65"/>
      <c r="B98" s="60" t="s">
        <v>155</v>
      </c>
      <c r="C98" s="128" t="s">
        <v>0</v>
      </c>
      <c r="D98" s="167">
        <f>(2*0.4+0.38+0.27+0.02)*3</f>
        <v>4.41</v>
      </c>
    </row>
    <row r="99" spans="1:4" s="67" customFormat="1" outlineLevel="1" x14ac:dyDescent="0.25">
      <c r="A99" s="57"/>
      <c r="B99" s="62" t="s">
        <v>49</v>
      </c>
      <c r="C99" s="160" t="s">
        <v>0</v>
      </c>
      <c r="D99" s="35">
        <f>6*0.4</f>
        <v>2.4000000000000004</v>
      </c>
    </row>
    <row r="100" spans="1:4" s="67" customFormat="1" outlineLevel="1" x14ac:dyDescent="0.25">
      <c r="A100" s="57"/>
      <c r="B100" s="62" t="s">
        <v>48</v>
      </c>
      <c r="C100" s="160" t="s">
        <v>0</v>
      </c>
      <c r="D100" s="35">
        <f>0.38*3</f>
        <v>1.1400000000000001</v>
      </c>
    </row>
    <row r="101" spans="1:4" s="67" customFormat="1" outlineLevel="1" x14ac:dyDescent="0.25">
      <c r="A101" s="57"/>
      <c r="B101" s="62" t="s">
        <v>50</v>
      </c>
      <c r="C101" s="160" t="s">
        <v>0</v>
      </c>
      <c r="D101" s="35">
        <f>0.27*3</f>
        <v>0.81</v>
      </c>
    </row>
    <row r="102" spans="1:4" s="67" customFormat="1" outlineLevel="1" x14ac:dyDescent="0.25">
      <c r="A102" s="57"/>
      <c r="B102" s="62" t="s">
        <v>51</v>
      </c>
      <c r="C102" s="160" t="s">
        <v>0</v>
      </c>
      <c r="D102" s="35">
        <f>0.02*3</f>
        <v>0.06</v>
      </c>
    </row>
    <row r="103" spans="1:4" s="67" customFormat="1" outlineLevel="1" x14ac:dyDescent="0.25">
      <c r="A103" s="57"/>
      <c r="B103" s="62" t="s">
        <v>154</v>
      </c>
      <c r="C103" s="160" t="s">
        <v>23</v>
      </c>
      <c r="D103" s="35">
        <v>30</v>
      </c>
    </row>
    <row r="104" spans="1:4" s="67" customFormat="1" outlineLevel="1" x14ac:dyDescent="0.25">
      <c r="A104" s="57"/>
      <c r="B104" s="62" t="s">
        <v>52</v>
      </c>
      <c r="C104" s="160" t="s">
        <v>22</v>
      </c>
      <c r="D104" s="168">
        <v>3</v>
      </c>
    </row>
    <row r="105" spans="1:4" outlineLevel="1" x14ac:dyDescent="0.25">
      <c r="A105" s="2"/>
      <c r="B105" s="55" t="s">
        <v>26</v>
      </c>
      <c r="C105" s="43" t="s">
        <v>6</v>
      </c>
      <c r="D105" s="32">
        <f>8.95*3</f>
        <v>26.849999999999998</v>
      </c>
    </row>
    <row r="106" spans="1:4" outlineLevel="1" x14ac:dyDescent="0.25">
      <c r="A106" s="2"/>
      <c r="B106" s="74" t="s">
        <v>156</v>
      </c>
      <c r="C106" s="169" t="s">
        <v>23</v>
      </c>
      <c r="D106" s="34">
        <v>64.44</v>
      </c>
    </row>
    <row r="107" spans="1:4" outlineLevel="1" x14ac:dyDescent="0.25">
      <c r="A107" s="2"/>
      <c r="B107" s="111" t="s">
        <v>160</v>
      </c>
      <c r="C107" s="169"/>
      <c r="D107" s="34"/>
    </row>
    <row r="108" spans="1:4" s="67" customFormat="1" outlineLevel="1" x14ac:dyDescent="0.25">
      <c r="A108" s="57"/>
      <c r="B108" s="60" t="s">
        <v>157</v>
      </c>
      <c r="C108" s="128" t="s">
        <v>22</v>
      </c>
      <c r="D108" s="170">
        <v>2</v>
      </c>
    </row>
    <row r="109" spans="1:4" s="67" customFormat="1" outlineLevel="1" x14ac:dyDescent="0.25">
      <c r="A109" s="57"/>
      <c r="B109" s="69" t="s">
        <v>55</v>
      </c>
      <c r="C109" s="160" t="s">
        <v>22</v>
      </c>
      <c r="D109" s="168">
        <v>2</v>
      </c>
    </row>
    <row r="110" spans="1:4" s="67" customFormat="1" outlineLevel="1" x14ac:dyDescent="0.25">
      <c r="A110" s="57"/>
      <c r="B110" s="60" t="s">
        <v>158</v>
      </c>
      <c r="C110" s="128" t="s">
        <v>23</v>
      </c>
      <c r="D110" s="129">
        <v>39.5</v>
      </c>
    </row>
    <row r="111" spans="1:4" s="67" customFormat="1" outlineLevel="1" x14ac:dyDescent="0.25">
      <c r="A111" s="57"/>
      <c r="B111" s="69" t="s">
        <v>56</v>
      </c>
      <c r="C111" s="160" t="s">
        <v>22</v>
      </c>
      <c r="D111" s="168">
        <v>1</v>
      </c>
    </row>
    <row r="112" spans="1:4" s="67" customFormat="1" outlineLevel="1" x14ac:dyDescent="0.25">
      <c r="A112" s="57"/>
      <c r="B112" s="60" t="s">
        <v>158</v>
      </c>
      <c r="C112" s="128" t="s">
        <v>23</v>
      </c>
      <c r="D112" s="129">
        <v>12.1</v>
      </c>
    </row>
    <row r="113" spans="1:4" s="67" customFormat="1" outlineLevel="1" x14ac:dyDescent="0.25">
      <c r="A113" s="57"/>
      <c r="B113" s="69" t="s">
        <v>57</v>
      </c>
      <c r="C113" s="160" t="s">
        <v>22</v>
      </c>
      <c r="D113" s="168">
        <v>1</v>
      </c>
    </row>
    <row r="114" spans="1:4" s="67" customFormat="1" outlineLevel="1" x14ac:dyDescent="0.25">
      <c r="A114" s="57"/>
      <c r="B114" s="60" t="s">
        <v>159</v>
      </c>
      <c r="C114" s="128" t="s">
        <v>22</v>
      </c>
      <c r="D114" s="170">
        <v>1</v>
      </c>
    </row>
    <row r="115" spans="1:4" s="67" customFormat="1" outlineLevel="1" x14ac:dyDescent="0.25">
      <c r="A115" s="57"/>
      <c r="B115" s="69" t="s">
        <v>58</v>
      </c>
      <c r="C115" s="160" t="s">
        <v>22</v>
      </c>
      <c r="D115" s="168">
        <v>1</v>
      </c>
    </row>
    <row r="116" spans="1:4" s="67" customFormat="1" outlineLevel="1" x14ac:dyDescent="0.25">
      <c r="A116" s="57"/>
      <c r="B116" s="60" t="s">
        <v>88</v>
      </c>
      <c r="C116" s="128" t="s">
        <v>22</v>
      </c>
      <c r="D116" s="170">
        <f>D117+D119</f>
        <v>5</v>
      </c>
    </row>
    <row r="117" spans="1:4" s="67" customFormat="1" outlineLevel="1" x14ac:dyDescent="0.25">
      <c r="A117" s="57"/>
      <c r="B117" s="69" t="s">
        <v>161</v>
      </c>
      <c r="C117" s="160" t="s">
        <v>22</v>
      </c>
      <c r="D117" s="168">
        <v>3</v>
      </c>
    </row>
    <row r="118" spans="1:4" s="67" customFormat="1" outlineLevel="1" x14ac:dyDescent="0.25">
      <c r="A118" s="57"/>
      <c r="B118" s="69" t="s">
        <v>53</v>
      </c>
      <c r="C118" s="160" t="s">
        <v>22</v>
      </c>
      <c r="D118" s="168">
        <v>2</v>
      </c>
    </row>
    <row r="119" spans="1:4" s="67" customFormat="1" outlineLevel="1" x14ac:dyDescent="0.25">
      <c r="A119" s="57"/>
      <c r="B119" s="69" t="s">
        <v>59</v>
      </c>
      <c r="C119" s="160" t="s">
        <v>22</v>
      </c>
      <c r="D119" s="168">
        <v>2</v>
      </c>
    </row>
    <row r="120" spans="1:4" s="67" customFormat="1" outlineLevel="1" x14ac:dyDescent="0.25">
      <c r="A120" s="57"/>
      <c r="B120" s="69" t="s">
        <v>54</v>
      </c>
      <c r="C120" s="160" t="s">
        <v>22</v>
      </c>
      <c r="D120" s="168">
        <v>2</v>
      </c>
    </row>
    <row r="121" spans="1:4" outlineLevel="1" x14ac:dyDescent="0.25">
      <c r="A121" s="2"/>
      <c r="B121" s="111" t="s">
        <v>162</v>
      </c>
      <c r="C121" s="169"/>
      <c r="D121" s="34"/>
    </row>
    <row r="122" spans="1:4" s="67" customFormat="1" outlineLevel="1" x14ac:dyDescent="0.25">
      <c r="A122" s="57"/>
      <c r="B122" s="60" t="s">
        <v>163</v>
      </c>
      <c r="C122" s="128" t="s">
        <v>22</v>
      </c>
      <c r="D122" s="170">
        <v>1</v>
      </c>
    </row>
    <row r="123" spans="1:4" s="67" customFormat="1" outlineLevel="1" x14ac:dyDescent="0.25">
      <c r="A123" s="57"/>
      <c r="B123" s="69" t="s">
        <v>60</v>
      </c>
      <c r="C123" s="160" t="s">
        <v>22</v>
      </c>
      <c r="D123" s="168">
        <v>1</v>
      </c>
    </row>
    <row r="124" spans="1:4" s="67" customFormat="1" outlineLevel="1" x14ac:dyDescent="0.25">
      <c r="A124" s="57"/>
      <c r="B124" s="60" t="s">
        <v>157</v>
      </c>
      <c r="C124" s="128" t="s">
        <v>22</v>
      </c>
      <c r="D124" s="170">
        <v>1</v>
      </c>
    </row>
    <row r="125" spans="1:4" s="67" customFormat="1" outlineLevel="1" x14ac:dyDescent="0.25">
      <c r="A125" s="57"/>
      <c r="B125" s="69" t="s">
        <v>55</v>
      </c>
      <c r="C125" s="160" t="s">
        <v>22</v>
      </c>
      <c r="D125" s="168">
        <v>1</v>
      </c>
    </row>
    <row r="126" spans="1:4" s="67" customFormat="1" outlineLevel="1" x14ac:dyDescent="0.25">
      <c r="A126" s="57"/>
      <c r="B126" s="60" t="s">
        <v>88</v>
      </c>
      <c r="C126" s="128" t="s">
        <v>22</v>
      </c>
      <c r="D126" s="170">
        <f>D127+D129</f>
        <v>6</v>
      </c>
    </row>
    <row r="127" spans="1:4" s="67" customFormat="1" outlineLevel="1" x14ac:dyDescent="0.25">
      <c r="A127" s="57"/>
      <c r="B127" s="69" t="s">
        <v>161</v>
      </c>
      <c r="C127" s="160" t="s">
        <v>22</v>
      </c>
      <c r="D127" s="168">
        <v>4</v>
      </c>
    </row>
    <row r="128" spans="1:4" s="67" customFormat="1" outlineLevel="1" x14ac:dyDescent="0.25">
      <c r="A128" s="57"/>
      <c r="B128" s="69" t="s">
        <v>53</v>
      </c>
      <c r="C128" s="160" t="s">
        <v>22</v>
      </c>
      <c r="D128" s="168">
        <v>2</v>
      </c>
    </row>
    <row r="129" spans="1:4" s="67" customFormat="1" outlineLevel="1" x14ac:dyDescent="0.25">
      <c r="A129" s="57"/>
      <c r="B129" s="69" t="s">
        <v>59</v>
      </c>
      <c r="C129" s="160" t="s">
        <v>22</v>
      </c>
      <c r="D129" s="168">
        <v>2</v>
      </c>
    </row>
    <row r="130" spans="1:4" s="67" customFormat="1" outlineLevel="1" x14ac:dyDescent="0.25">
      <c r="A130" s="57"/>
      <c r="B130" s="69" t="s">
        <v>54</v>
      </c>
      <c r="C130" s="160" t="s">
        <v>22</v>
      </c>
      <c r="D130" s="168">
        <v>2</v>
      </c>
    </row>
    <row r="131" spans="1:4" outlineLevel="1" x14ac:dyDescent="0.25">
      <c r="A131" s="2"/>
      <c r="B131" s="111" t="s">
        <v>164</v>
      </c>
      <c r="C131" s="169"/>
      <c r="D131" s="34"/>
    </row>
    <row r="132" spans="1:4" s="67" customFormat="1" outlineLevel="1" x14ac:dyDescent="0.25">
      <c r="A132" s="57"/>
      <c r="B132" s="60" t="s">
        <v>157</v>
      </c>
      <c r="C132" s="128" t="s">
        <v>22</v>
      </c>
      <c r="D132" s="170">
        <v>3</v>
      </c>
    </row>
    <row r="133" spans="1:4" s="67" customFormat="1" outlineLevel="1" x14ac:dyDescent="0.25">
      <c r="A133" s="57"/>
      <c r="B133" s="69" t="s">
        <v>55</v>
      </c>
      <c r="C133" s="160" t="s">
        <v>22</v>
      </c>
      <c r="D133" s="168">
        <v>3</v>
      </c>
    </row>
    <row r="134" spans="1:4" s="67" customFormat="1" outlineLevel="1" x14ac:dyDescent="0.25">
      <c r="A134" s="57"/>
      <c r="B134" s="60" t="s">
        <v>158</v>
      </c>
      <c r="C134" s="128" t="s">
        <v>23</v>
      </c>
      <c r="D134" s="129">
        <v>39.5</v>
      </c>
    </row>
    <row r="135" spans="1:4" s="67" customFormat="1" outlineLevel="1" x14ac:dyDescent="0.25">
      <c r="A135" s="57"/>
      <c r="B135" s="69" t="s">
        <v>56</v>
      </c>
      <c r="C135" s="160" t="s">
        <v>22</v>
      </c>
      <c r="D135" s="168">
        <v>1</v>
      </c>
    </row>
    <row r="136" spans="1:4" s="67" customFormat="1" outlineLevel="1" x14ac:dyDescent="0.25">
      <c r="A136" s="57"/>
      <c r="B136" s="60" t="s">
        <v>159</v>
      </c>
      <c r="C136" s="128" t="s">
        <v>22</v>
      </c>
      <c r="D136" s="170">
        <v>1</v>
      </c>
    </row>
    <row r="137" spans="1:4" s="67" customFormat="1" outlineLevel="1" x14ac:dyDescent="0.25">
      <c r="A137" s="57"/>
      <c r="B137" s="69" t="s">
        <v>58</v>
      </c>
      <c r="C137" s="160" t="s">
        <v>22</v>
      </c>
      <c r="D137" s="168">
        <v>1</v>
      </c>
    </row>
    <row r="138" spans="1:4" s="67" customFormat="1" outlineLevel="1" x14ac:dyDescent="0.25">
      <c r="A138" s="57"/>
      <c r="B138" s="60" t="s">
        <v>88</v>
      </c>
      <c r="C138" s="128" t="s">
        <v>22</v>
      </c>
      <c r="D138" s="170">
        <f>D139+D141</f>
        <v>10</v>
      </c>
    </row>
    <row r="139" spans="1:4" s="67" customFormat="1" outlineLevel="1" x14ac:dyDescent="0.25">
      <c r="A139" s="57"/>
      <c r="B139" s="69" t="s">
        <v>161</v>
      </c>
      <c r="C139" s="160" t="s">
        <v>22</v>
      </c>
      <c r="D139" s="168">
        <v>5</v>
      </c>
    </row>
    <row r="140" spans="1:4" s="67" customFormat="1" outlineLevel="1" x14ac:dyDescent="0.25">
      <c r="A140" s="57"/>
      <c r="B140" s="69" t="s">
        <v>53</v>
      </c>
      <c r="C140" s="160" t="s">
        <v>22</v>
      </c>
      <c r="D140" s="168">
        <v>5</v>
      </c>
    </row>
    <row r="141" spans="1:4" s="67" customFormat="1" outlineLevel="1" x14ac:dyDescent="0.25">
      <c r="A141" s="57"/>
      <c r="B141" s="69" t="s">
        <v>59</v>
      </c>
      <c r="C141" s="160" t="s">
        <v>22</v>
      </c>
      <c r="D141" s="168">
        <v>5</v>
      </c>
    </row>
    <row r="142" spans="1:4" s="67" customFormat="1" outlineLevel="1" x14ac:dyDescent="0.25">
      <c r="A142" s="57"/>
      <c r="B142" s="69" t="s">
        <v>54</v>
      </c>
      <c r="C142" s="160" t="s">
        <v>22</v>
      </c>
      <c r="D142" s="168">
        <v>2</v>
      </c>
    </row>
    <row r="143" spans="1:4" s="67" customFormat="1" outlineLevel="1" x14ac:dyDescent="0.25">
      <c r="A143" s="57"/>
      <c r="B143" s="112" t="s">
        <v>88</v>
      </c>
      <c r="C143" s="128" t="s">
        <v>22</v>
      </c>
      <c r="D143" s="170">
        <f>D144</f>
        <v>2</v>
      </c>
    </row>
    <row r="144" spans="1:4" s="67" customFormat="1" outlineLevel="1" x14ac:dyDescent="0.25">
      <c r="A144" s="57"/>
      <c r="B144" s="113" t="s">
        <v>61</v>
      </c>
      <c r="C144" s="160" t="s">
        <v>22</v>
      </c>
      <c r="D144" s="168">
        <v>2</v>
      </c>
    </row>
    <row r="145" spans="1:4" s="67" customFormat="1" outlineLevel="1" x14ac:dyDescent="0.25">
      <c r="A145" s="57"/>
      <c r="B145" s="113" t="s">
        <v>54</v>
      </c>
      <c r="C145" s="160" t="s">
        <v>22</v>
      </c>
      <c r="D145" s="168">
        <v>3</v>
      </c>
    </row>
    <row r="146" spans="1:4" s="67" customFormat="1" x14ac:dyDescent="0.25">
      <c r="A146" s="85" t="s">
        <v>69</v>
      </c>
      <c r="B146" s="98" t="s">
        <v>100</v>
      </c>
      <c r="C146" s="137" t="s">
        <v>6</v>
      </c>
      <c r="D146" s="157">
        <f>D151</f>
        <v>24</v>
      </c>
    </row>
    <row r="147" spans="1:4" customFormat="1" ht="15" outlineLevel="1" x14ac:dyDescent="0.25">
      <c r="A147" s="86"/>
      <c r="B147" s="56" t="s">
        <v>90</v>
      </c>
      <c r="C147" s="171" t="s">
        <v>0</v>
      </c>
      <c r="D147" s="172">
        <v>32.159999999999997</v>
      </c>
    </row>
    <row r="148" spans="1:4" customFormat="1" ht="15" outlineLevel="1" x14ac:dyDescent="0.25">
      <c r="A148" s="86"/>
      <c r="B148" s="56" t="s">
        <v>91</v>
      </c>
      <c r="C148" s="173" t="s">
        <v>0</v>
      </c>
      <c r="D148" s="174">
        <v>35.375999999999998</v>
      </c>
    </row>
    <row r="149" spans="1:4" customFormat="1" ht="15" outlineLevel="1" x14ac:dyDescent="0.25">
      <c r="A149" s="86"/>
      <c r="B149" s="56" t="s">
        <v>92</v>
      </c>
      <c r="C149" s="173" t="s">
        <v>0</v>
      </c>
      <c r="D149" s="175">
        <v>6</v>
      </c>
    </row>
    <row r="150" spans="1:4" s="110" customFormat="1" ht="25.5" outlineLevel="1" x14ac:dyDescent="0.25">
      <c r="A150" s="109"/>
      <c r="B150" s="91" t="s">
        <v>93</v>
      </c>
      <c r="C150" s="176" t="s">
        <v>0</v>
      </c>
      <c r="D150" s="177">
        <v>7.32</v>
      </c>
    </row>
    <row r="151" spans="1:4" customFormat="1" ht="25.5" outlineLevel="1" x14ac:dyDescent="0.25">
      <c r="A151" s="86"/>
      <c r="B151" s="56" t="s">
        <v>94</v>
      </c>
      <c r="C151" s="173" t="s">
        <v>6</v>
      </c>
      <c r="D151" s="178">
        <v>24</v>
      </c>
    </row>
    <row r="152" spans="1:4" s="110" customFormat="1" ht="15" outlineLevel="1" x14ac:dyDescent="0.25">
      <c r="A152" s="109"/>
      <c r="B152" s="91" t="s">
        <v>95</v>
      </c>
      <c r="C152" s="176" t="s">
        <v>96</v>
      </c>
      <c r="D152" s="179">
        <v>0.156</v>
      </c>
    </row>
    <row r="153" spans="1:4" s="110" customFormat="1" ht="15" outlineLevel="1" x14ac:dyDescent="0.25">
      <c r="A153" s="109"/>
      <c r="B153" s="91" t="s">
        <v>97</v>
      </c>
      <c r="C153" s="176" t="s">
        <v>96</v>
      </c>
      <c r="D153" s="180">
        <f>2.3232+1.1616</f>
        <v>3.4847999999999999</v>
      </c>
    </row>
    <row r="154" spans="1:4" customFormat="1" ht="26.25" customHeight="1" outlineLevel="1" x14ac:dyDescent="0.25">
      <c r="A154" s="86"/>
      <c r="B154" s="56" t="s">
        <v>98</v>
      </c>
      <c r="C154" s="173" t="s">
        <v>6</v>
      </c>
      <c r="D154" s="175">
        <v>24</v>
      </c>
    </row>
    <row r="155" spans="1:4" s="110" customFormat="1" ht="15" outlineLevel="1" x14ac:dyDescent="0.25">
      <c r="A155" s="109"/>
      <c r="B155" s="91" t="s">
        <v>95</v>
      </c>
      <c r="C155" s="176" t="s">
        <v>96</v>
      </c>
      <c r="D155" s="180">
        <v>1.5599999999999999E-2</v>
      </c>
    </row>
    <row r="156" spans="1:4" s="110" customFormat="1" ht="15" outlineLevel="1" x14ac:dyDescent="0.25">
      <c r="A156" s="109"/>
      <c r="B156" s="91" t="s">
        <v>99</v>
      </c>
      <c r="C156" s="176" t="s">
        <v>96</v>
      </c>
      <c r="D156" s="180">
        <v>2.3231999999999999</v>
      </c>
    </row>
    <row r="157" spans="1:4" s="13" customFormat="1" ht="13.5" x14ac:dyDescent="0.25">
      <c r="A157" s="19" t="s">
        <v>43</v>
      </c>
      <c r="B157" s="21" t="s">
        <v>110</v>
      </c>
      <c r="C157" s="27"/>
      <c r="D157" s="28"/>
    </row>
    <row r="158" spans="1:4" s="67" customFormat="1" x14ac:dyDescent="0.25">
      <c r="A158" s="22" t="s">
        <v>7</v>
      </c>
      <c r="B158" s="76" t="s">
        <v>107</v>
      </c>
      <c r="C158" s="137" t="s">
        <v>0</v>
      </c>
      <c r="D158" s="164">
        <f>D159</f>
        <v>4.1640000000000006</v>
      </c>
    </row>
    <row r="159" spans="1:4" s="67" customFormat="1" outlineLevel="1" x14ac:dyDescent="0.25">
      <c r="A159" s="49"/>
      <c r="B159" s="23" t="s">
        <v>118</v>
      </c>
      <c r="C159" s="149" t="s">
        <v>0</v>
      </c>
      <c r="D159" s="167">
        <f>69.4*0.06</f>
        <v>4.1640000000000006</v>
      </c>
    </row>
    <row r="160" spans="1:4" s="67" customFormat="1" outlineLevel="1" x14ac:dyDescent="0.2">
      <c r="A160" s="49"/>
      <c r="B160" s="52" t="s">
        <v>120</v>
      </c>
      <c r="C160" s="128" t="s">
        <v>16</v>
      </c>
      <c r="D160" s="181">
        <f>D159*1.9</f>
        <v>7.9116000000000009</v>
      </c>
    </row>
    <row r="161" spans="1:4" s="67" customFormat="1" ht="12.75" customHeight="1" outlineLevel="1" x14ac:dyDescent="0.25">
      <c r="A161" s="49"/>
      <c r="B161" s="106" t="s">
        <v>121</v>
      </c>
      <c r="C161" s="128" t="s">
        <v>16</v>
      </c>
      <c r="D161" s="181">
        <f>D160</f>
        <v>7.9116000000000009</v>
      </c>
    </row>
    <row r="162" spans="1:4" x14ac:dyDescent="0.25">
      <c r="A162" s="87" t="s">
        <v>11</v>
      </c>
      <c r="B162" s="72" t="s">
        <v>106</v>
      </c>
      <c r="C162" s="134" t="s">
        <v>0</v>
      </c>
      <c r="D162" s="105">
        <f>SUM(D165:D167)+D176</f>
        <v>293.83299999999997</v>
      </c>
    </row>
    <row r="163" spans="1:4" s="50" customFormat="1" outlineLevel="1" x14ac:dyDescent="0.25">
      <c r="A163" s="22"/>
      <c r="B163" s="31" t="s">
        <v>183</v>
      </c>
      <c r="C163" s="137"/>
      <c r="D163" s="157"/>
    </row>
    <row r="164" spans="1:4" outlineLevel="1" x14ac:dyDescent="0.25">
      <c r="A164" s="87"/>
      <c r="B164" s="23" t="s">
        <v>127</v>
      </c>
      <c r="C164" s="182" t="s">
        <v>0</v>
      </c>
      <c r="D164" s="24">
        <v>18.75</v>
      </c>
    </row>
    <row r="165" spans="1:4" ht="25.5" outlineLevel="1" x14ac:dyDescent="0.25">
      <c r="A165" s="87"/>
      <c r="B165" s="23" t="s">
        <v>128</v>
      </c>
      <c r="C165" s="182" t="s">
        <v>0</v>
      </c>
      <c r="D165" s="24">
        <v>18.75</v>
      </c>
    </row>
    <row r="166" spans="1:4" s="50" customFormat="1" outlineLevel="1" x14ac:dyDescent="0.25">
      <c r="A166" s="22"/>
      <c r="B166" s="31" t="s">
        <v>145</v>
      </c>
      <c r="C166" s="137"/>
      <c r="D166" s="157"/>
    </row>
    <row r="167" spans="1:4" ht="25.5" outlineLevel="1" x14ac:dyDescent="0.25">
      <c r="A167" s="88"/>
      <c r="B167" s="58" t="s">
        <v>129</v>
      </c>
      <c r="C167" s="182" t="s">
        <v>0</v>
      </c>
      <c r="D167" s="24">
        <f>(296.67-18.8)*0.9</f>
        <v>250.083</v>
      </c>
    </row>
    <row r="168" spans="1:4" outlineLevel="1" x14ac:dyDescent="0.25">
      <c r="A168" s="88"/>
      <c r="B168" s="58" t="s">
        <v>130</v>
      </c>
      <c r="C168" s="182" t="s">
        <v>0</v>
      </c>
      <c r="D168" s="24">
        <f>(296.67-18.8)*0.1</f>
        <v>27.787000000000003</v>
      </c>
    </row>
    <row r="169" spans="1:4" outlineLevel="1" x14ac:dyDescent="0.25">
      <c r="A169" s="88"/>
      <c r="B169" s="60" t="s">
        <v>131</v>
      </c>
      <c r="C169" s="182" t="s">
        <v>16</v>
      </c>
      <c r="D169" s="32">
        <f>27.8*1.65</f>
        <v>45.87</v>
      </c>
    </row>
    <row r="170" spans="1:4" outlineLevel="1" x14ac:dyDescent="0.25">
      <c r="A170" s="88"/>
      <c r="B170" s="60" t="s">
        <v>132</v>
      </c>
      <c r="C170" s="182" t="s">
        <v>16</v>
      </c>
      <c r="D170" s="32">
        <f>D169</f>
        <v>45.87</v>
      </c>
    </row>
    <row r="171" spans="1:4" ht="25.5" outlineLevel="1" x14ac:dyDescent="0.25">
      <c r="A171" s="88"/>
      <c r="B171" s="60" t="s">
        <v>133</v>
      </c>
      <c r="C171" s="182" t="s">
        <v>0</v>
      </c>
      <c r="D171" s="24">
        <f>(D168+D167-24.3)-5</f>
        <v>248.57</v>
      </c>
    </row>
    <row r="172" spans="1:4" outlineLevel="1" x14ac:dyDescent="0.25">
      <c r="A172" s="88"/>
      <c r="B172" s="60" t="s">
        <v>187</v>
      </c>
      <c r="C172" s="182" t="s">
        <v>0</v>
      </c>
      <c r="D172" s="32">
        <v>5</v>
      </c>
    </row>
    <row r="173" spans="1:4" outlineLevel="1" x14ac:dyDescent="0.25">
      <c r="A173" s="88"/>
      <c r="B173" s="74" t="s">
        <v>91</v>
      </c>
      <c r="C173" s="169" t="s">
        <v>0</v>
      </c>
      <c r="D173" s="34">
        <f>(0.2486*1000+0.05*100)*1.1</f>
        <v>278.96000000000004</v>
      </c>
    </row>
    <row r="174" spans="1:4" outlineLevel="1" x14ac:dyDescent="0.25">
      <c r="A174" s="88"/>
      <c r="B174" s="60" t="s">
        <v>186</v>
      </c>
      <c r="C174" s="182" t="s">
        <v>0</v>
      </c>
      <c r="D174" s="26">
        <f>(0.2486*1000)/100</f>
        <v>2.4859999999999998</v>
      </c>
    </row>
    <row r="175" spans="1:4" s="50" customFormat="1" outlineLevel="1" x14ac:dyDescent="0.25">
      <c r="A175" s="22"/>
      <c r="B175" s="31" t="s">
        <v>184</v>
      </c>
      <c r="C175" s="137"/>
      <c r="D175" s="157"/>
    </row>
    <row r="176" spans="1:4" outlineLevel="1" x14ac:dyDescent="0.25">
      <c r="A176" s="87"/>
      <c r="B176" s="90" t="s">
        <v>138</v>
      </c>
      <c r="C176" s="182" t="s">
        <v>0</v>
      </c>
      <c r="D176" s="32">
        <v>25</v>
      </c>
    </row>
    <row r="177" spans="1:4" outlineLevel="1" x14ac:dyDescent="0.25">
      <c r="A177" s="87"/>
      <c r="B177" s="71" t="s">
        <v>150</v>
      </c>
      <c r="C177" s="182" t="s">
        <v>0</v>
      </c>
      <c r="D177" s="32">
        <v>24.5</v>
      </c>
    </row>
    <row r="178" spans="1:4" s="59" customFormat="1" outlineLevel="1" x14ac:dyDescent="0.25">
      <c r="A178" s="70"/>
      <c r="B178" s="60" t="s">
        <v>152</v>
      </c>
      <c r="C178" s="128" t="s">
        <v>0</v>
      </c>
      <c r="D178" s="36">
        <f>D177</f>
        <v>24.5</v>
      </c>
    </row>
    <row r="179" spans="1:4" s="59" customFormat="1" outlineLevel="1" x14ac:dyDescent="0.25">
      <c r="A179" s="57"/>
      <c r="B179" s="60" t="s">
        <v>136</v>
      </c>
      <c r="C179" s="128" t="s">
        <v>6</v>
      </c>
      <c r="D179" s="36">
        <v>50</v>
      </c>
    </row>
    <row r="180" spans="1:4" x14ac:dyDescent="0.25">
      <c r="A180" s="87" t="s">
        <v>12</v>
      </c>
      <c r="B180" s="72" t="s">
        <v>112</v>
      </c>
      <c r="C180" s="105" t="s">
        <v>108</v>
      </c>
      <c r="D180" s="105">
        <f>D181</f>
        <v>110</v>
      </c>
    </row>
    <row r="181" spans="1:4" outlineLevel="1" x14ac:dyDescent="0.25">
      <c r="A181" s="87"/>
      <c r="B181" s="55" t="s">
        <v>113</v>
      </c>
      <c r="C181" s="24" t="s">
        <v>19</v>
      </c>
      <c r="D181" s="24">
        <v>110</v>
      </c>
    </row>
    <row r="182" spans="1:4" outlineLevel="1" x14ac:dyDescent="0.25">
      <c r="A182" s="87"/>
      <c r="B182" s="56" t="s">
        <v>188</v>
      </c>
      <c r="C182" s="182" t="s">
        <v>16</v>
      </c>
      <c r="D182" s="26">
        <f>D181*24.3/1000</f>
        <v>2.673</v>
      </c>
    </row>
    <row r="183" spans="1:4" outlineLevel="1" x14ac:dyDescent="0.25">
      <c r="A183" s="88"/>
      <c r="B183" s="56" t="s">
        <v>189</v>
      </c>
      <c r="C183" s="182" t="s">
        <v>16</v>
      </c>
      <c r="D183" s="26">
        <f>D181*24.3/1000</f>
        <v>2.673</v>
      </c>
    </row>
    <row r="184" spans="1:4" x14ac:dyDescent="0.25">
      <c r="A184" s="87" t="s">
        <v>38</v>
      </c>
      <c r="B184" s="72" t="s">
        <v>79</v>
      </c>
      <c r="C184" s="134" t="s">
        <v>108</v>
      </c>
      <c r="D184" s="105">
        <f>D185+D196</f>
        <v>115</v>
      </c>
    </row>
    <row r="185" spans="1:4" ht="25.5" outlineLevel="1" x14ac:dyDescent="0.25">
      <c r="A185" s="87" t="s">
        <v>103</v>
      </c>
      <c r="B185" s="83" t="s">
        <v>195</v>
      </c>
      <c r="C185" s="94" t="s">
        <v>24</v>
      </c>
      <c r="D185" s="95">
        <f>D191</f>
        <v>54</v>
      </c>
    </row>
    <row r="186" spans="1:4" outlineLevel="1" x14ac:dyDescent="0.25">
      <c r="A186" s="88"/>
      <c r="B186" s="71" t="s">
        <v>138</v>
      </c>
      <c r="C186" s="182" t="s">
        <v>0</v>
      </c>
      <c r="D186" s="24">
        <v>6.5</v>
      </c>
    </row>
    <row r="187" spans="1:4" outlineLevel="1" x14ac:dyDescent="0.25">
      <c r="A187" s="88"/>
      <c r="B187" s="71" t="s">
        <v>139</v>
      </c>
      <c r="C187" s="182" t="s">
        <v>0</v>
      </c>
      <c r="D187" s="24">
        <v>6.5</v>
      </c>
    </row>
    <row r="188" spans="1:4" outlineLevel="1" x14ac:dyDescent="0.25">
      <c r="A188" s="88"/>
      <c r="B188" s="71" t="s">
        <v>190</v>
      </c>
      <c r="C188" s="182" t="s">
        <v>0</v>
      </c>
      <c r="D188" s="24">
        <v>6.5</v>
      </c>
    </row>
    <row r="189" spans="1:4" outlineLevel="1" x14ac:dyDescent="0.25">
      <c r="A189" s="88"/>
      <c r="B189" s="108" t="s">
        <v>198</v>
      </c>
      <c r="C189" s="182" t="s">
        <v>22</v>
      </c>
      <c r="D189" s="24">
        <v>1</v>
      </c>
    </row>
    <row r="190" spans="1:4" outlineLevel="1" x14ac:dyDescent="0.25">
      <c r="A190" s="88"/>
      <c r="B190" s="108" t="s">
        <v>199</v>
      </c>
      <c r="C190" s="182" t="s">
        <v>22</v>
      </c>
      <c r="D190" s="24">
        <v>1</v>
      </c>
    </row>
    <row r="191" spans="1:4" ht="27.75" customHeight="1" outlineLevel="1" x14ac:dyDescent="0.25">
      <c r="A191" s="88"/>
      <c r="B191" s="55" t="s">
        <v>204</v>
      </c>
      <c r="C191" s="182" t="s">
        <v>19</v>
      </c>
      <c r="D191" s="24">
        <v>54</v>
      </c>
    </row>
    <row r="192" spans="1:4" outlineLevel="1" x14ac:dyDescent="0.25">
      <c r="A192" s="88"/>
      <c r="B192" s="74" t="s">
        <v>80</v>
      </c>
      <c r="C192" s="169" t="s">
        <v>19</v>
      </c>
      <c r="D192" s="183">
        <v>56</v>
      </c>
    </row>
    <row r="193" spans="1:4" ht="13.5" customHeight="1" outlineLevel="1" x14ac:dyDescent="0.25">
      <c r="A193" s="88"/>
      <c r="B193" s="55" t="s">
        <v>193</v>
      </c>
      <c r="C193" s="182" t="s">
        <v>19</v>
      </c>
      <c r="D193" s="24">
        <f>D191</f>
        <v>54</v>
      </c>
    </row>
    <row r="194" spans="1:4" outlineLevel="1" x14ac:dyDescent="0.25">
      <c r="A194" s="88"/>
      <c r="B194" s="74" t="s">
        <v>192</v>
      </c>
      <c r="C194" s="169" t="s">
        <v>19</v>
      </c>
      <c r="D194" s="34">
        <v>54.5</v>
      </c>
    </row>
    <row r="195" spans="1:4" outlineLevel="1" x14ac:dyDescent="0.25">
      <c r="A195" s="88"/>
      <c r="B195" s="55" t="s">
        <v>194</v>
      </c>
      <c r="C195" s="169" t="s">
        <v>19</v>
      </c>
      <c r="D195" s="34">
        <f>D193</f>
        <v>54</v>
      </c>
    </row>
    <row r="196" spans="1:4" ht="26.25" customHeight="1" outlineLevel="1" x14ac:dyDescent="0.25">
      <c r="A196" s="87" t="s">
        <v>196</v>
      </c>
      <c r="B196" s="83" t="s">
        <v>197</v>
      </c>
      <c r="C196" s="94" t="s">
        <v>24</v>
      </c>
      <c r="D196" s="95">
        <f>D202</f>
        <v>61</v>
      </c>
    </row>
    <row r="197" spans="1:4" outlineLevel="1" x14ac:dyDescent="0.25">
      <c r="A197" s="88"/>
      <c r="B197" s="71" t="s">
        <v>138</v>
      </c>
      <c r="C197" s="182" t="s">
        <v>0</v>
      </c>
      <c r="D197" s="24">
        <v>6.5</v>
      </c>
    </row>
    <row r="198" spans="1:4" outlineLevel="1" x14ac:dyDescent="0.25">
      <c r="A198" s="88"/>
      <c r="B198" s="71" t="s">
        <v>139</v>
      </c>
      <c r="C198" s="182" t="s">
        <v>0</v>
      </c>
      <c r="D198" s="24">
        <v>6.5</v>
      </c>
    </row>
    <row r="199" spans="1:4" outlineLevel="1" x14ac:dyDescent="0.25">
      <c r="A199" s="88"/>
      <c r="B199" s="71" t="s">
        <v>190</v>
      </c>
      <c r="C199" s="182" t="s">
        <v>0</v>
      </c>
      <c r="D199" s="24">
        <v>6.5</v>
      </c>
    </row>
    <row r="200" spans="1:4" outlineLevel="1" x14ac:dyDescent="0.25">
      <c r="A200" s="88"/>
      <c r="B200" s="108" t="s">
        <v>198</v>
      </c>
      <c r="C200" s="182" t="s">
        <v>22</v>
      </c>
      <c r="D200" s="24">
        <v>1</v>
      </c>
    </row>
    <row r="201" spans="1:4" outlineLevel="1" x14ac:dyDescent="0.25">
      <c r="A201" s="88"/>
      <c r="B201" s="108" t="s">
        <v>199</v>
      </c>
      <c r="C201" s="182" t="s">
        <v>22</v>
      </c>
      <c r="D201" s="24">
        <v>1</v>
      </c>
    </row>
    <row r="202" spans="1:4" ht="25.5" outlineLevel="1" x14ac:dyDescent="0.25">
      <c r="A202" s="88"/>
      <c r="B202" s="55" t="s">
        <v>205</v>
      </c>
      <c r="C202" s="182" t="s">
        <v>19</v>
      </c>
      <c r="D202" s="24">
        <v>61</v>
      </c>
    </row>
    <row r="203" spans="1:4" outlineLevel="1" x14ac:dyDescent="0.25">
      <c r="A203" s="88"/>
      <c r="B203" s="74" t="s">
        <v>81</v>
      </c>
      <c r="C203" s="169" t="s">
        <v>19</v>
      </c>
      <c r="D203" s="34">
        <v>63</v>
      </c>
    </row>
    <row r="204" spans="1:4" outlineLevel="1" x14ac:dyDescent="0.25">
      <c r="A204" s="88"/>
      <c r="B204" s="55" t="s">
        <v>194</v>
      </c>
      <c r="C204" s="169" t="s">
        <v>19</v>
      </c>
      <c r="D204" s="34">
        <f>D202</f>
        <v>61</v>
      </c>
    </row>
    <row r="205" spans="1:4" ht="27.75" customHeight="1" x14ac:dyDescent="0.25">
      <c r="A205" s="87" t="s">
        <v>101</v>
      </c>
      <c r="B205" s="30" t="s">
        <v>82</v>
      </c>
      <c r="C205" s="134" t="s">
        <v>24</v>
      </c>
      <c r="D205" s="135">
        <f>D206+D213+D210</f>
        <v>25</v>
      </c>
    </row>
    <row r="206" spans="1:4" outlineLevel="1" x14ac:dyDescent="0.25">
      <c r="A206" s="88"/>
      <c r="B206" s="55" t="s">
        <v>206</v>
      </c>
      <c r="C206" s="182" t="s">
        <v>24</v>
      </c>
      <c r="D206" s="32">
        <v>13</v>
      </c>
    </row>
    <row r="207" spans="1:4" outlineLevel="1" x14ac:dyDescent="0.25">
      <c r="A207" s="88"/>
      <c r="B207" s="74" t="s">
        <v>71</v>
      </c>
      <c r="C207" s="169" t="s">
        <v>24</v>
      </c>
      <c r="D207" s="34">
        <f>D206*1.01</f>
        <v>13.13</v>
      </c>
    </row>
    <row r="208" spans="1:4" outlineLevel="1" x14ac:dyDescent="0.25">
      <c r="A208" s="88"/>
      <c r="B208" s="55" t="s">
        <v>210</v>
      </c>
      <c r="C208" s="182" t="s">
        <v>24</v>
      </c>
      <c r="D208" s="32">
        <v>2</v>
      </c>
    </row>
    <row r="209" spans="1:4" outlineLevel="1" x14ac:dyDescent="0.25">
      <c r="A209" s="88"/>
      <c r="B209" s="120" t="s">
        <v>208</v>
      </c>
      <c r="C209" s="169" t="s">
        <v>24</v>
      </c>
      <c r="D209" s="34">
        <f>D208*1.01</f>
        <v>2.02</v>
      </c>
    </row>
    <row r="210" spans="1:4" outlineLevel="1" x14ac:dyDescent="0.25">
      <c r="A210" s="88"/>
      <c r="B210" s="123" t="s">
        <v>211</v>
      </c>
      <c r="C210" s="182" t="s">
        <v>24</v>
      </c>
      <c r="D210" s="32">
        <v>3</v>
      </c>
    </row>
    <row r="211" spans="1:4" outlineLevel="1" x14ac:dyDescent="0.25">
      <c r="A211" s="88"/>
      <c r="B211" s="120" t="s">
        <v>71</v>
      </c>
      <c r="C211" s="169" t="s">
        <v>24</v>
      </c>
      <c r="D211" s="34">
        <f>D210*1.01</f>
        <v>3.0300000000000002</v>
      </c>
    </row>
    <row r="212" spans="1:4" outlineLevel="1" x14ac:dyDescent="0.25">
      <c r="A212" s="88"/>
      <c r="B212" s="123" t="s">
        <v>25</v>
      </c>
      <c r="C212" s="182" t="s">
        <v>19</v>
      </c>
      <c r="D212" s="32">
        <f>D210</f>
        <v>3</v>
      </c>
    </row>
    <row r="213" spans="1:4" outlineLevel="1" x14ac:dyDescent="0.25">
      <c r="A213" s="88"/>
      <c r="B213" s="55" t="s">
        <v>207</v>
      </c>
      <c r="C213" s="182" t="s">
        <v>24</v>
      </c>
      <c r="D213" s="32">
        <v>9</v>
      </c>
    </row>
    <row r="214" spans="1:4" outlineLevel="1" x14ac:dyDescent="0.25">
      <c r="A214" s="88"/>
      <c r="B214" s="74" t="s">
        <v>83</v>
      </c>
      <c r="C214" s="169" t="s">
        <v>24</v>
      </c>
      <c r="D214" s="34">
        <f>9*1.01</f>
        <v>9.09</v>
      </c>
    </row>
    <row r="215" spans="1:4" outlineLevel="1" x14ac:dyDescent="0.25">
      <c r="A215" s="88"/>
      <c r="B215" s="55" t="s">
        <v>209</v>
      </c>
      <c r="C215" s="182" t="s">
        <v>22</v>
      </c>
      <c r="D215" s="36">
        <f>D216+D217</f>
        <v>25</v>
      </c>
    </row>
    <row r="216" spans="1:4" outlineLevel="1" x14ac:dyDescent="0.25">
      <c r="A216" s="88"/>
      <c r="B216" s="74" t="s">
        <v>72</v>
      </c>
      <c r="C216" s="169" t="s">
        <v>22</v>
      </c>
      <c r="D216" s="34">
        <v>14</v>
      </c>
    </row>
    <row r="217" spans="1:4" outlineLevel="1" x14ac:dyDescent="0.25">
      <c r="A217" s="88"/>
      <c r="B217" s="74" t="s">
        <v>73</v>
      </c>
      <c r="C217" s="169" t="s">
        <v>22</v>
      </c>
      <c r="D217" s="34">
        <v>11</v>
      </c>
    </row>
    <row r="218" spans="1:4" x14ac:dyDescent="0.25">
      <c r="A218" s="87" t="s">
        <v>38</v>
      </c>
      <c r="B218" s="66" t="s">
        <v>47</v>
      </c>
      <c r="C218" s="134" t="s">
        <v>22</v>
      </c>
      <c r="D218" s="104">
        <v>9</v>
      </c>
    </row>
    <row r="219" spans="1:4" outlineLevel="1" x14ac:dyDescent="0.25">
      <c r="A219" s="88"/>
      <c r="B219" s="55" t="s">
        <v>212</v>
      </c>
      <c r="C219" s="182" t="s">
        <v>0</v>
      </c>
      <c r="D219" s="32">
        <v>13.96</v>
      </c>
    </row>
    <row r="220" spans="1:4" s="67" customFormat="1" outlineLevel="1" x14ac:dyDescent="0.25">
      <c r="A220" s="49"/>
      <c r="B220" s="62" t="s">
        <v>75</v>
      </c>
      <c r="C220" s="160" t="s">
        <v>0</v>
      </c>
      <c r="D220" s="35">
        <f>23*0.4</f>
        <v>9.2000000000000011</v>
      </c>
    </row>
    <row r="221" spans="1:4" s="67" customFormat="1" outlineLevel="1" x14ac:dyDescent="0.25">
      <c r="A221" s="49"/>
      <c r="B221" s="69" t="s">
        <v>77</v>
      </c>
      <c r="C221" s="160" t="s">
        <v>0</v>
      </c>
      <c r="D221" s="35">
        <f>0.05*7</f>
        <v>0.35000000000000003</v>
      </c>
    </row>
    <row r="222" spans="1:4" s="67" customFormat="1" outlineLevel="1" x14ac:dyDescent="0.25">
      <c r="A222" s="49"/>
      <c r="B222" s="62" t="s">
        <v>74</v>
      </c>
      <c r="C222" s="160" t="s">
        <v>0</v>
      </c>
      <c r="D222" s="35">
        <f>0.38*9</f>
        <v>3.42</v>
      </c>
    </row>
    <row r="223" spans="1:4" s="67" customFormat="1" outlineLevel="1" x14ac:dyDescent="0.25">
      <c r="A223" s="49"/>
      <c r="B223" s="62" t="s">
        <v>76</v>
      </c>
      <c r="C223" s="160" t="s">
        <v>0</v>
      </c>
      <c r="D223" s="35">
        <f>0.27*3</f>
        <v>0.81</v>
      </c>
    </row>
    <row r="224" spans="1:4" s="67" customFormat="1" outlineLevel="1" x14ac:dyDescent="0.25">
      <c r="A224" s="49"/>
      <c r="B224" s="69" t="s">
        <v>78</v>
      </c>
      <c r="C224" s="160" t="s">
        <v>0</v>
      </c>
      <c r="D224" s="35">
        <f>0.02*9</f>
        <v>0.18</v>
      </c>
    </row>
    <row r="225" spans="1:4" s="67" customFormat="1" outlineLevel="1" x14ac:dyDescent="0.25">
      <c r="A225" s="49"/>
      <c r="B225" s="62" t="s">
        <v>52</v>
      </c>
      <c r="C225" s="160" t="s">
        <v>22</v>
      </c>
      <c r="D225" s="35">
        <v>9</v>
      </c>
    </row>
    <row r="226" spans="1:4" s="67" customFormat="1" outlineLevel="1" x14ac:dyDescent="0.25">
      <c r="A226" s="49"/>
      <c r="B226" s="62" t="s">
        <v>213</v>
      </c>
      <c r="C226" s="160" t="s">
        <v>23</v>
      </c>
      <c r="D226" s="35">
        <f>2*22.7</f>
        <v>45.4</v>
      </c>
    </row>
    <row r="227" spans="1:4" outlineLevel="1" x14ac:dyDescent="0.25">
      <c r="A227" s="88"/>
      <c r="B227" s="62" t="s">
        <v>214</v>
      </c>
      <c r="C227" s="160" t="s">
        <v>23</v>
      </c>
      <c r="D227" s="34">
        <f>7*33.8</f>
        <v>236.59999999999997</v>
      </c>
    </row>
    <row r="228" spans="1:4" outlineLevel="1" x14ac:dyDescent="0.25">
      <c r="A228" s="88"/>
      <c r="B228" s="74" t="s">
        <v>27</v>
      </c>
      <c r="C228" s="169" t="s">
        <v>22</v>
      </c>
      <c r="D228" s="34">
        <v>11</v>
      </c>
    </row>
    <row r="229" spans="1:4" outlineLevel="1" x14ac:dyDescent="0.25">
      <c r="A229" s="88"/>
      <c r="B229" s="74" t="s">
        <v>28</v>
      </c>
      <c r="C229" s="169" t="s">
        <v>22</v>
      </c>
      <c r="D229" s="34">
        <v>4</v>
      </c>
    </row>
    <row r="230" spans="1:4" outlineLevel="1" x14ac:dyDescent="0.25">
      <c r="A230" s="88"/>
      <c r="B230" s="55" t="s">
        <v>26</v>
      </c>
      <c r="C230" s="43" t="s">
        <v>6</v>
      </c>
      <c r="D230" s="32">
        <f>24.3*4.71</f>
        <v>114.453</v>
      </c>
    </row>
    <row r="231" spans="1:4" outlineLevel="1" x14ac:dyDescent="0.25">
      <c r="A231" s="88"/>
      <c r="B231" s="74" t="s">
        <v>156</v>
      </c>
      <c r="C231" s="169" t="s">
        <v>23</v>
      </c>
      <c r="D231" s="34">
        <f>274.68</f>
        <v>274.68</v>
      </c>
    </row>
    <row r="232" spans="1:4" x14ac:dyDescent="0.25">
      <c r="A232" s="19" t="s">
        <v>42</v>
      </c>
      <c r="B232" s="21" t="s">
        <v>109</v>
      </c>
      <c r="C232" s="27"/>
      <c r="D232" s="28"/>
    </row>
    <row r="233" spans="1:4" x14ac:dyDescent="0.25">
      <c r="A233" s="22" t="s">
        <v>7</v>
      </c>
      <c r="B233" s="31" t="s">
        <v>295</v>
      </c>
      <c r="C233" s="94" t="s">
        <v>0</v>
      </c>
      <c r="D233" s="95">
        <f>D234*0.06</f>
        <v>10.02</v>
      </c>
    </row>
    <row r="234" spans="1:4" outlineLevel="1" x14ac:dyDescent="0.25">
      <c r="A234" s="2" t="s">
        <v>8</v>
      </c>
      <c r="B234" s="23" t="s">
        <v>20</v>
      </c>
      <c r="C234" s="3" t="s">
        <v>6</v>
      </c>
      <c r="D234" s="51">
        <v>167</v>
      </c>
    </row>
    <row r="235" spans="1:4" outlineLevel="1" x14ac:dyDescent="0.2">
      <c r="A235" s="2" t="s">
        <v>9</v>
      </c>
      <c r="B235" s="52" t="s">
        <v>34</v>
      </c>
      <c r="C235" s="3" t="s">
        <v>16</v>
      </c>
      <c r="D235" s="53">
        <f>D234*0.06*1.9</f>
        <v>19.037999999999997</v>
      </c>
    </row>
    <row r="236" spans="1:4" outlineLevel="1" x14ac:dyDescent="0.2">
      <c r="A236" s="40" t="s">
        <v>10</v>
      </c>
      <c r="B236" s="115" t="s">
        <v>17</v>
      </c>
      <c r="C236" s="41" t="s">
        <v>16</v>
      </c>
      <c r="D236" s="54">
        <f>D234*0.06*1.9</f>
        <v>19.037999999999997</v>
      </c>
    </row>
    <row r="237" spans="1:4" x14ac:dyDescent="0.2">
      <c r="A237" s="29" t="s">
        <v>11</v>
      </c>
      <c r="B237" s="116" t="s">
        <v>294</v>
      </c>
      <c r="C237" s="77" t="s">
        <v>0</v>
      </c>
      <c r="D237" s="117">
        <f>D244+D243</f>
        <v>495</v>
      </c>
    </row>
    <row r="238" spans="1:4" ht="38.25" outlineLevel="1" x14ac:dyDescent="0.25">
      <c r="A238" s="2" t="s">
        <v>267</v>
      </c>
      <c r="B238" s="60" t="s">
        <v>137</v>
      </c>
      <c r="C238" s="33" t="s">
        <v>22</v>
      </c>
      <c r="D238" s="75">
        <v>3</v>
      </c>
    </row>
    <row r="239" spans="1:4" outlineLevel="1" x14ac:dyDescent="0.25">
      <c r="A239" s="2"/>
      <c r="B239" s="74" t="s">
        <v>35</v>
      </c>
      <c r="C239" s="33" t="s">
        <v>19</v>
      </c>
      <c r="D239" s="75">
        <v>127.2</v>
      </c>
    </row>
    <row r="240" spans="1:4" outlineLevel="1" x14ac:dyDescent="0.25">
      <c r="A240" s="2"/>
      <c r="B240" s="74" t="s">
        <v>36</v>
      </c>
      <c r="C240" s="33" t="s">
        <v>19</v>
      </c>
      <c r="D240" s="75">
        <v>72</v>
      </c>
    </row>
    <row r="241" spans="1:4" outlineLevel="1" x14ac:dyDescent="0.25">
      <c r="A241" s="2"/>
      <c r="B241" s="74" t="s">
        <v>37</v>
      </c>
      <c r="C241" s="33" t="s">
        <v>0</v>
      </c>
      <c r="D241" s="75">
        <v>7.2</v>
      </c>
    </row>
    <row r="242" spans="1:4" ht="13.5" outlineLevel="1" x14ac:dyDescent="0.25">
      <c r="A242" s="2"/>
      <c r="B242" s="136" t="s">
        <v>268</v>
      </c>
      <c r="C242" s="33"/>
      <c r="D242" s="75"/>
    </row>
    <row r="243" spans="1:4" outlineLevel="1" x14ac:dyDescent="0.25">
      <c r="A243" s="2" t="s">
        <v>269</v>
      </c>
      <c r="B243" s="58" t="s">
        <v>130</v>
      </c>
      <c r="C243" s="3" t="s">
        <v>0</v>
      </c>
      <c r="D243" s="51">
        <v>49</v>
      </c>
    </row>
    <row r="244" spans="1:4" ht="25.5" outlineLevel="1" x14ac:dyDescent="0.25">
      <c r="A244" s="2" t="s">
        <v>270</v>
      </c>
      <c r="B244" s="58" t="s">
        <v>271</v>
      </c>
      <c r="C244" s="3" t="s">
        <v>0</v>
      </c>
      <c r="D244" s="51">
        <v>446</v>
      </c>
    </row>
    <row r="245" spans="1:4" outlineLevel="1" x14ac:dyDescent="0.2">
      <c r="A245" s="2" t="s">
        <v>272</v>
      </c>
      <c r="B245" s="52" t="s">
        <v>131</v>
      </c>
      <c r="C245" s="57" t="s">
        <v>16</v>
      </c>
      <c r="D245" s="25">
        <v>80.849999999999994</v>
      </c>
    </row>
    <row r="246" spans="1:4" s="14" customFormat="1" outlineLevel="1" x14ac:dyDescent="0.2">
      <c r="A246" s="2" t="s">
        <v>165</v>
      </c>
      <c r="B246" s="52" t="s">
        <v>132</v>
      </c>
      <c r="C246" s="57" t="s">
        <v>16</v>
      </c>
      <c r="D246" s="118">
        <v>816.75</v>
      </c>
    </row>
    <row r="247" spans="1:4" s="14" customFormat="1" ht="25.5" outlineLevel="1" x14ac:dyDescent="0.2">
      <c r="A247" s="2" t="s">
        <v>273</v>
      </c>
      <c r="B247" s="52" t="s">
        <v>133</v>
      </c>
      <c r="C247" s="57" t="s">
        <v>0</v>
      </c>
      <c r="D247" s="25">
        <v>411.3</v>
      </c>
    </row>
    <row r="248" spans="1:4" outlineLevel="1" x14ac:dyDescent="0.2">
      <c r="A248" s="2" t="s">
        <v>274</v>
      </c>
      <c r="B248" s="52" t="s">
        <v>134</v>
      </c>
      <c r="C248" s="3" t="s">
        <v>0</v>
      </c>
      <c r="D248" s="45">
        <v>39</v>
      </c>
    </row>
    <row r="249" spans="1:4" outlineLevel="1" x14ac:dyDescent="0.2">
      <c r="A249" s="81"/>
      <c r="B249" s="119" t="s">
        <v>135</v>
      </c>
      <c r="C249" s="33" t="s">
        <v>0</v>
      </c>
      <c r="D249" s="39">
        <v>495.33000000000004</v>
      </c>
    </row>
    <row r="250" spans="1:4" outlineLevel="1" x14ac:dyDescent="0.2">
      <c r="A250" s="2" t="s">
        <v>275</v>
      </c>
      <c r="B250" s="52" t="s">
        <v>152</v>
      </c>
      <c r="C250" s="33" t="s">
        <v>0</v>
      </c>
      <c r="D250" s="39">
        <v>411.3</v>
      </c>
    </row>
    <row r="251" spans="1:4" outlineLevel="1" x14ac:dyDescent="0.2">
      <c r="A251" s="2" t="s">
        <v>166</v>
      </c>
      <c r="B251" s="52" t="s">
        <v>276</v>
      </c>
      <c r="C251" s="3" t="s">
        <v>0</v>
      </c>
      <c r="D251" s="51">
        <v>339</v>
      </c>
    </row>
    <row r="252" spans="1:4" x14ac:dyDescent="0.25">
      <c r="A252" s="29" t="s">
        <v>12</v>
      </c>
      <c r="B252" s="30" t="s">
        <v>33</v>
      </c>
      <c r="C252" s="77" t="s">
        <v>108</v>
      </c>
      <c r="D252" s="105">
        <f>D254+D264+D274+D286+D298+D308+D318</f>
        <v>137</v>
      </c>
    </row>
    <row r="253" spans="1:4" outlineLevel="1" x14ac:dyDescent="0.25">
      <c r="A253" s="29" t="s">
        <v>13</v>
      </c>
      <c r="B253" s="30" t="s">
        <v>215</v>
      </c>
      <c r="C253" s="77"/>
      <c r="D253" s="105"/>
    </row>
    <row r="254" spans="1:4" outlineLevel="1" x14ac:dyDescent="0.25">
      <c r="A254" s="2"/>
      <c r="B254" s="121" t="s">
        <v>172</v>
      </c>
      <c r="C254" s="3" t="s">
        <v>24</v>
      </c>
      <c r="D254" s="61">
        <v>18</v>
      </c>
    </row>
    <row r="255" spans="1:4" outlineLevel="1" x14ac:dyDescent="0.25">
      <c r="A255" s="2"/>
      <c r="B255" s="55" t="s">
        <v>138</v>
      </c>
      <c r="C255" s="3" t="s">
        <v>0</v>
      </c>
      <c r="D255" s="73">
        <v>6.5</v>
      </c>
    </row>
    <row r="256" spans="1:4" outlineLevel="1" x14ac:dyDescent="0.25">
      <c r="A256" s="2"/>
      <c r="B256" s="55" t="s">
        <v>139</v>
      </c>
      <c r="C256" s="3" t="s">
        <v>0</v>
      </c>
      <c r="D256" s="73">
        <v>6.5</v>
      </c>
    </row>
    <row r="257" spans="1:4" outlineLevel="1" x14ac:dyDescent="0.25">
      <c r="A257" s="2"/>
      <c r="B257" s="55" t="s">
        <v>190</v>
      </c>
      <c r="C257" s="3" t="s">
        <v>0</v>
      </c>
      <c r="D257" s="73">
        <v>6.5</v>
      </c>
    </row>
    <row r="258" spans="1:4" outlineLevel="1" x14ac:dyDescent="0.25">
      <c r="A258" s="2"/>
      <c r="B258" s="55" t="s">
        <v>198</v>
      </c>
      <c r="C258" s="3" t="s">
        <v>22</v>
      </c>
      <c r="D258" s="73">
        <v>1</v>
      </c>
    </row>
    <row r="259" spans="1:4" outlineLevel="1" x14ac:dyDescent="0.25">
      <c r="A259" s="2"/>
      <c r="B259" s="55" t="s">
        <v>199</v>
      </c>
      <c r="C259" s="3" t="s">
        <v>22</v>
      </c>
      <c r="D259" s="73">
        <v>1</v>
      </c>
    </row>
    <row r="260" spans="1:4" ht="25.5" outlineLevel="1" x14ac:dyDescent="0.25">
      <c r="A260" s="2"/>
      <c r="B260" s="55" t="s">
        <v>277</v>
      </c>
      <c r="C260" s="3" t="s">
        <v>19</v>
      </c>
      <c r="D260" s="73">
        <v>18</v>
      </c>
    </row>
    <row r="261" spans="1:4" outlineLevel="1" x14ac:dyDescent="0.25">
      <c r="A261" s="2"/>
      <c r="B261" s="74" t="s">
        <v>32</v>
      </c>
      <c r="C261" s="33" t="s">
        <v>19</v>
      </c>
      <c r="D261" s="122">
        <v>20</v>
      </c>
    </row>
    <row r="262" spans="1:4" s="67" customFormat="1" outlineLevel="1" x14ac:dyDescent="0.25">
      <c r="A262" s="79"/>
      <c r="B262" s="107" t="s">
        <v>279</v>
      </c>
      <c r="C262" s="128" t="s">
        <v>19</v>
      </c>
      <c r="D262" s="129">
        <v>20</v>
      </c>
    </row>
    <row r="263" spans="1:4" outlineLevel="1" x14ac:dyDescent="0.25">
      <c r="A263" s="29" t="s">
        <v>14</v>
      </c>
      <c r="B263" s="72" t="s">
        <v>216</v>
      </c>
      <c r="C263" s="3"/>
      <c r="D263" s="73"/>
    </row>
    <row r="264" spans="1:4" outlineLevel="1" x14ac:dyDescent="0.25">
      <c r="A264" s="2"/>
      <c r="B264" s="121" t="s">
        <v>173</v>
      </c>
      <c r="C264" s="3" t="s">
        <v>24</v>
      </c>
      <c r="D264" s="61">
        <v>6</v>
      </c>
    </row>
    <row r="265" spans="1:4" outlineLevel="1" x14ac:dyDescent="0.25">
      <c r="A265" s="2"/>
      <c r="B265" s="55" t="s">
        <v>138</v>
      </c>
      <c r="C265" s="3" t="s">
        <v>0</v>
      </c>
      <c r="D265" s="73">
        <v>6.5</v>
      </c>
    </row>
    <row r="266" spans="1:4" outlineLevel="1" x14ac:dyDescent="0.25">
      <c r="A266" s="2"/>
      <c r="B266" s="55" t="s">
        <v>139</v>
      </c>
      <c r="C266" s="3" t="s">
        <v>0</v>
      </c>
      <c r="D266" s="73">
        <v>6.5</v>
      </c>
    </row>
    <row r="267" spans="1:4" outlineLevel="1" x14ac:dyDescent="0.25">
      <c r="A267" s="2"/>
      <c r="B267" s="55" t="s">
        <v>190</v>
      </c>
      <c r="C267" s="3" t="s">
        <v>0</v>
      </c>
      <c r="D267" s="73">
        <v>6.5</v>
      </c>
    </row>
    <row r="268" spans="1:4" outlineLevel="1" x14ac:dyDescent="0.25">
      <c r="A268" s="2"/>
      <c r="B268" s="55" t="s">
        <v>198</v>
      </c>
      <c r="C268" s="3" t="s">
        <v>22</v>
      </c>
      <c r="D268" s="73">
        <v>1</v>
      </c>
    </row>
    <row r="269" spans="1:4" outlineLevel="1" x14ac:dyDescent="0.25">
      <c r="A269" s="2"/>
      <c r="B269" s="55" t="s">
        <v>199</v>
      </c>
      <c r="C269" s="3" t="s">
        <v>22</v>
      </c>
      <c r="D269" s="73">
        <v>1</v>
      </c>
    </row>
    <row r="270" spans="1:4" ht="25.5" outlineLevel="1" x14ac:dyDescent="0.25">
      <c r="A270" s="2"/>
      <c r="B270" s="55" t="s">
        <v>280</v>
      </c>
      <c r="C270" s="3" t="s">
        <v>19</v>
      </c>
      <c r="D270" s="73">
        <v>6</v>
      </c>
    </row>
    <row r="271" spans="1:4" outlineLevel="1" x14ac:dyDescent="0.25">
      <c r="A271" s="2"/>
      <c r="B271" s="74" t="s">
        <v>32</v>
      </c>
      <c r="C271" s="33" t="s">
        <v>19</v>
      </c>
      <c r="D271" s="122">
        <v>8</v>
      </c>
    </row>
    <row r="272" spans="1:4" s="67" customFormat="1" outlineLevel="1" x14ac:dyDescent="0.25">
      <c r="A272" s="79"/>
      <c r="B272" s="107" t="s">
        <v>279</v>
      </c>
      <c r="C272" s="128" t="s">
        <v>19</v>
      </c>
      <c r="D272" s="129">
        <v>8</v>
      </c>
    </row>
    <row r="273" spans="1:4" ht="25.5" outlineLevel="1" x14ac:dyDescent="0.25">
      <c r="A273" s="29" t="s">
        <v>18</v>
      </c>
      <c r="B273" s="72" t="s">
        <v>217</v>
      </c>
      <c r="C273" s="3"/>
      <c r="D273" s="73"/>
    </row>
    <row r="274" spans="1:4" ht="25.5" outlineLevel="1" x14ac:dyDescent="0.25">
      <c r="A274" s="2"/>
      <c r="B274" s="121" t="s">
        <v>30</v>
      </c>
      <c r="C274" s="3" t="s">
        <v>24</v>
      </c>
      <c r="D274" s="61">
        <v>37</v>
      </c>
    </row>
    <row r="275" spans="1:4" outlineLevel="1" x14ac:dyDescent="0.25">
      <c r="A275" s="2"/>
      <c r="B275" s="55" t="s">
        <v>138</v>
      </c>
      <c r="C275" s="3" t="s">
        <v>0</v>
      </c>
      <c r="D275" s="73">
        <v>6.5</v>
      </c>
    </row>
    <row r="276" spans="1:4" outlineLevel="1" x14ac:dyDescent="0.25">
      <c r="A276" s="2"/>
      <c r="B276" s="55" t="s">
        <v>139</v>
      </c>
      <c r="C276" s="3" t="s">
        <v>0</v>
      </c>
      <c r="D276" s="73">
        <v>6.5</v>
      </c>
    </row>
    <row r="277" spans="1:4" outlineLevel="1" x14ac:dyDescent="0.25">
      <c r="A277" s="2"/>
      <c r="B277" s="55" t="s">
        <v>190</v>
      </c>
      <c r="C277" s="3" t="s">
        <v>0</v>
      </c>
      <c r="D277" s="73">
        <v>6.5</v>
      </c>
    </row>
    <row r="278" spans="1:4" outlineLevel="1" x14ac:dyDescent="0.25">
      <c r="A278" s="2"/>
      <c r="B278" s="55" t="s">
        <v>198</v>
      </c>
      <c r="C278" s="3" t="s">
        <v>22</v>
      </c>
      <c r="D278" s="73">
        <v>1</v>
      </c>
    </row>
    <row r="279" spans="1:4" outlineLevel="1" x14ac:dyDescent="0.25">
      <c r="A279" s="2"/>
      <c r="B279" s="55" t="s">
        <v>199</v>
      </c>
      <c r="C279" s="3" t="s">
        <v>22</v>
      </c>
      <c r="D279" s="73">
        <v>1</v>
      </c>
    </row>
    <row r="280" spans="1:4" ht="25.5" outlineLevel="1" x14ac:dyDescent="0.25">
      <c r="A280" s="2"/>
      <c r="B280" s="55" t="s">
        <v>281</v>
      </c>
      <c r="C280" s="3" t="s">
        <v>19</v>
      </c>
      <c r="D280" s="73">
        <v>35</v>
      </c>
    </row>
    <row r="281" spans="1:4" outlineLevel="1" x14ac:dyDescent="0.25">
      <c r="A281" s="2"/>
      <c r="B281" s="120" t="s">
        <v>174</v>
      </c>
      <c r="C281" s="33" t="s">
        <v>19</v>
      </c>
      <c r="D281" s="122">
        <v>37</v>
      </c>
    </row>
    <row r="282" spans="1:4" outlineLevel="1" x14ac:dyDescent="0.25">
      <c r="A282" s="2"/>
      <c r="B282" s="123" t="s">
        <v>282</v>
      </c>
      <c r="C282" s="3" t="s">
        <v>19</v>
      </c>
      <c r="D282" s="61">
        <v>39</v>
      </c>
    </row>
    <row r="283" spans="1:4" outlineLevel="1" x14ac:dyDescent="0.25">
      <c r="A283" s="2"/>
      <c r="B283" s="74" t="s">
        <v>32</v>
      </c>
      <c r="C283" s="33" t="s">
        <v>19</v>
      </c>
      <c r="D283" s="122">
        <v>42.9</v>
      </c>
    </row>
    <row r="284" spans="1:4" s="67" customFormat="1" outlineLevel="1" x14ac:dyDescent="0.25">
      <c r="A284" s="79"/>
      <c r="B284" s="107" t="s">
        <v>279</v>
      </c>
      <c r="C284" s="128" t="s">
        <v>19</v>
      </c>
      <c r="D284" s="129">
        <v>39</v>
      </c>
    </row>
    <row r="285" spans="1:4" ht="25.5" outlineLevel="1" x14ac:dyDescent="0.25">
      <c r="A285" s="29" t="s">
        <v>248</v>
      </c>
      <c r="B285" s="72" t="s">
        <v>218</v>
      </c>
      <c r="C285" s="3"/>
      <c r="D285" s="73"/>
    </row>
    <row r="286" spans="1:4" outlineLevel="1" x14ac:dyDescent="0.25">
      <c r="A286" s="2"/>
      <c r="B286" s="121" t="s">
        <v>41</v>
      </c>
      <c r="C286" s="3" t="s">
        <v>24</v>
      </c>
      <c r="D286" s="61">
        <v>3</v>
      </c>
    </row>
    <row r="287" spans="1:4" outlineLevel="1" x14ac:dyDescent="0.25">
      <c r="A287" s="2"/>
      <c r="B287" s="55" t="s">
        <v>138</v>
      </c>
      <c r="C287" s="3" t="s">
        <v>0</v>
      </c>
      <c r="D287" s="73">
        <v>6.5</v>
      </c>
    </row>
    <row r="288" spans="1:4" outlineLevel="1" x14ac:dyDescent="0.25">
      <c r="A288" s="2"/>
      <c r="B288" s="55" t="s">
        <v>139</v>
      </c>
      <c r="C288" s="3" t="s">
        <v>0</v>
      </c>
      <c r="D288" s="73">
        <v>6.5</v>
      </c>
    </row>
    <row r="289" spans="1:4" outlineLevel="1" x14ac:dyDescent="0.25">
      <c r="A289" s="2"/>
      <c r="B289" s="55" t="s">
        <v>190</v>
      </c>
      <c r="C289" s="3" t="s">
        <v>0</v>
      </c>
      <c r="D289" s="73">
        <v>6.5</v>
      </c>
    </row>
    <row r="290" spans="1:4" outlineLevel="1" x14ac:dyDescent="0.25">
      <c r="A290" s="2"/>
      <c r="B290" s="55" t="s">
        <v>198</v>
      </c>
      <c r="C290" s="3" t="s">
        <v>22</v>
      </c>
      <c r="D290" s="73">
        <v>1</v>
      </c>
    </row>
    <row r="291" spans="1:4" outlineLevel="1" x14ac:dyDescent="0.25">
      <c r="A291" s="2"/>
      <c r="B291" s="55" t="s">
        <v>199</v>
      </c>
      <c r="C291" s="3" t="s">
        <v>22</v>
      </c>
      <c r="D291" s="73">
        <v>1</v>
      </c>
    </row>
    <row r="292" spans="1:4" ht="25.5" outlineLevel="1" x14ac:dyDescent="0.25">
      <c r="A292" s="2"/>
      <c r="B292" s="55" t="s">
        <v>283</v>
      </c>
      <c r="C292" s="3" t="s">
        <v>19</v>
      </c>
      <c r="D292" s="73">
        <v>3</v>
      </c>
    </row>
    <row r="293" spans="1:4" outlineLevel="1" x14ac:dyDescent="0.25">
      <c r="A293" s="2"/>
      <c r="B293" s="120" t="s">
        <v>174</v>
      </c>
      <c r="C293" s="63" t="s">
        <v>19</v>
      </c>
      <c r="D293" s="122">
        <v>5</v>
      </c>
    </row>
    <row r="294" spans="1:4" outlineLevel="1" x14ac:dyDescent="0.25">
      <c r="A294" s="2"/>
      <c r="B294" s="123" t="s">
        <v>282</v>
      </c>
      <c r="C294" s="33" t="s">
        <v>19</v>
      </c>
      <c r="D294" s="122">
        <v>7</v>
      </c>
    </row>
    <row r="295" spans="1:4" outlineLevel="1" x14ac:dyDescent="0.25">
      <c r="A295" s="2"/>
      <c r="B295" s="120" t="s">
        <v>32</v>
      </c>
      <c r="C295" s="63" t="s">
        <v>19</v>
      </c>
      <c r="D295" s="122">
        <v>7.7</v>
      </c>
    </row>
    <row r="296" spans="1:4" s="67" customFormat="1" outlineLevel="1" x14ac:dyDescent="0.25">
      <c r="A296" s="79"/>
      <c r="B296" s="107" t="s">
        <v>278</v>
      </c>
      <c r="C296" s="128" t="s">
        <v>19</v>
      </c>
      <c r="D296" s="129">
        <v>7</v>
      </c>
    </row>
    <row r="297" spans="1:4" outlineLevel="1" x14ac:dyDescent="0.25">
      <c r="A297" s="29" t="s">
        <v>250</v>
      </c>
      <c r="B297" s="72" t="s">
        <v>219</v>
      </c>
      <c r="C297" s="3"/>
      <c r="D297" s="73"/>
    </row>
    <row r="298" spans="1:4" outlineLevel="1" x14ac:dyDescent="0.25">
      <c r="A298" s="2"/>
      <c r="B298" s="121" t="s">
        <v>31</v>
      </c>
      <c r="C298" s="3" t="s">
        <v>24</v>
      </c>
      <c r="D298" s="61">
        <v>54</v>
      </c>
    </row>
    <row r="299" spans="1:4" outlineLevel="1" x14ac:dyDescent="0.25">
      <c r="A299" s="2"/>
      <c r="B299" s="55" t="s">
        <v>138</v>
      </c>
      <c r="C299" s="3" t="s">
        <v>0</v>
      </c>
      <c r="D299" s="73">
        <v>6.5</v>
      </c>
    </row>
    <row r="300" spans="1:4" outlineLevel="1" x14ac:dyDescent="0.25">
      <c r="A300" s="2"/>
      <c r="B300" s="55" t="s">
        <v>139</v>
      </c>
      <c r="C300" s="3" t="s">
        <v>0</v>
      </c>
      <c r="D300" s="73">
        <v>6.5</v>
      </c>
    </row>
    <row r="301" spans="1:4" outlineLevel="1" x14ac:dyDescent="0.25">
      <c r="A301" s="2"/>
      <c r="B301" s="55" t="s">
        <v>190</v>
      </c>
      <c r="C301" s="3" t="s">
        <v>0</v>
      </c>
      <c r="D301" s="73">
        <v>6.5</v>
      </c>
    </row>
    <row r="302" spans="1:4" outlineLevel="1" x14ac:dyDescent="0.25">
      <c r="A302" s="2"/>
      <c r="B302" s="55" t="s">
        <v>198</v>
      </c>
      <c r="C302" s="3" t="s">
        <v>22</v>
      </c>
      <c r="D302" s="73">
        <v>1</v>
      </c>
    </row>
    <row r="303" spans="1:4" outlineLevel="1" x14ac:dyDescent="0.25">
      <c r="A303" s="2"/>
      <c r="B303" s="55" t="s">
        <v>199</v>
      </c>
      <c r="C303" s="3" t="s">
        <v>22</v>
      </c>
      <c r="D303" s="73">
        <v>1</v>
      </c>
    </row>
    <row r="304" spans="1:4" ht="25.5" outlineLevel="1" x14ac:dyDescent="0.25">
      <c r="A304" s="2"/>
      <c r="B304" s="55" t="s">
        <v>284</v>
      </c>
      <c r="C304" s="3" t="s">
        <v>19</v>
      </c>
      <c r="D304" s="73">
        <v>54</v>
      </c>
    </row>
    <row r="305" spans="1:4" outlineLevel="1" x14ac:dyDescent="0.25">
      <c r="A305" s="2"/>
      <c r="B305" s="74" t="s">
        <v>32</v>
      </c>
      <c r="C305" s="33" t="s">
        <v>19</v>
      </c>
      <c r="D305" s="122">
        <v>56</v>
      </c>
    </row>
    <row r="306" spans="1:4" s="67" customFormat="1" outlineLevel="1" x14ac:dyDescent="0.25">
      <c r="A306" s="79"/>
      <c r="B306" s="107" t="s">
        <v>279</v>
      </c>
      <c r="C306" s="128" t="s">
        <v>19</v>
      </c>
      <c r="D306" s="129">
        <v>56</v>
      </c>
    </row>
    <row r="307" spans="1:4" outlineLevel="1" x14ac:dyDescent="0.25">
      <c r="A307" s="29" t="s">
        <v>251</v>
      </c>
      <c r="B307" s="72" t="s">
        <v>220</v>
      </c>
      <c r="C307" s="3"/>
      <c r="D307" s="73"/>
    </row>
    <row r="308" spans="1:4" outlineLevel="1" x14ac:dyDescent="0.25">
      <c r="A308" s="2"/>
      <c r="B308" s="121" t="s">
        <v>175</v>
      </c>
      <c r="C308" s="3" t="s">
        <v>24</v>
      </c>
      <c r="D308" s="61">
        <v>3</v>
      </c>
    </row>
    <row r="309" spans="1:4" outlineLevel="1" x14ac:dyDescent="0.25">
      <c r="A309" s="2"/>
      <c r="B309" s="123" t="s">
        <v>138</v>
      </c>
      <c r="C309" s="3" t="s">
        <v>0</v>
      </c>
      <c r="D309" s="73">
        <v>6.5</v>
      </c>
    </row>
    <row r="310" spans="1:4" outlineLevel="1" x14ac:dyDescent="0.25">
      <c r="A310" s="2"/>
      <c r="B310" s="123" t="s">
        <v>139</v>
      </c>
      <c r="C310" s="3" t="s">
        <v>0</v>
      </c>
      <c r="D310" s="73">
        <v>6.5</v>
      </c>
    </row>
    <row r="311" spans="1:4" outlineLevel="1" x14ac:dyDescent="0.25">
      <c r="A311" s="2"/>
      <c r="B311" s="123" t="s">
        <v>190</v>
      </c>
      <c r="C311" s="3" t="s">
        <v>0</v>
      </c>
      <c r="D311" s="73">
        <v>6.5</v>
      </c>
    </row>
    <row r="312" spans="1:4" outlineLevel="1" x14ac:dyDescent="0.25">
      <c r="A312" s="2"/>
      <c r="B312" s="123" t="s">
        <v>198</v>
      </c>
      <c r="C312" s="3" t="s">
        <v>22</v>
      </c>
      <c r="D312" s="73">
        <v>1</v>
      </c>
    </row>
    <row r="313" spans="1:4" outlineLevel="1" x14ac:dyDescent="0.25">
      <c r="A313" s="2"/>
      <c r="B313" s="123" t="s">
        <v>199</v>
      </c>
      <c r="C313" s="3" t="s">
        <v>22</v>
      </c>
      <c r="D313" s="73">
        <v>1</v>
      </c>
    </row>
    <row r="314" spans="1:4" ht="25.5" outlineLevel="1" x14ac:dyDescent="0.25">
      <c r="A314" s="2"/>
      <c r="B314" s="123" t="s">
        <v>285</v>
      </c>
      <c r="C314" s="3" t="s">
        <v>19</v>
      </c>
      <c r="D314" s="73">
        <v>3</v>
      </c>
    </row>
    <row r="315" spans="1:4" outlineLevel="1" x14ac:dyDescent="0.25">
      <c r="A315" s="2"/>
      <c r="B315" s="120" t="s">
        <v>32</v>
      </c>
      <c r="C315" s="33" t="s">
        <v>19</v>
      </c>
      <c r="D315" s="122">
        <v>5</v>
      </c>
    </row>
    <row r="316" spans="1:4" s="67" customFormat="1" outlineLevel="1" x14ac:dyDescent="0.25">
      <c r="A316" s="79"/>
      <c r="B316" s="107" t="s">
        <v>279</v>
      </c>
      <c r="C316" s="128" t="s">
        <v>19</v>
      </c>
      <c r="D316" s="129">
        <v>5</v>
      </c>
    </row>
    <row r="317" spans="1:4" ht="25.5" outlineLevel="1" x14ac:dyDescent="0.25">
      <c r="A317" s="29" t="s">
        <v>252</v>
      </c>
      <c r="B317" s="126" t="s">
        <v>221</v>
      </c>
      <c r="C317" s="3"/>
      <c r="D317" s="73"/>
    </row>
    <row r="318" spans="1:4" outlineLevel="1" x14ac:dyDescent="0.25">
      <c r="A318" s="2"/>
      <c r="B318" s="121" t="s">
        <v>84</v>
      </c>
      <c r="C318" s="3" t="s">
        <v>24</v>
      </c>
      <c r="D318" s="61">
        <v>16</v>
      </c>
    </row>
    <row r="319" spans="1:4" outlineLevel="1" x14ac:dyDescent="0.25">
      <c r="A319" s="2"/>
      <c r="B319" s="55" t="s">
        <v>138</v>
      </c>
      <c r="C319" s="3" t="s">
        <v>0</v>
      </c>
      <c r="D319" s="73">
        <v>6.5</v>
      </c>
    </row>
    <row r="320" spans="1:4" outlineLevel="1" x14ac:dyDescent="0.25">
      <c r="A320" s="2"/>
      <c r="B320" s="55" t="s">
        <v>139</v>
      </c>
      <c r="C320" s="3" t="s">
        <v>0</v>
      </c>
      <c r="D320" s="73">
        <v>6.5</v>
      </c>
    </row>
    <row r="321" spans="1:4" outlineLevel="1" x14ac:dyDescent="0.25">
      <c r="A321" s="2"/>
      <c r="B321" s="55" t="s">
        <v>190</v>
      </c>
      <c r="C321" s="3" t="s">
        <v>0</v>
      </c>
      <c r="D321" s="73">
        <v>6.5</v>
      </c>
    </row>
    <row r="322" spans="1:4" outlineLevel="1" x14ac:dyDescent="0.25">
      <c r="A322" s="2"/>
      <c r="B322" s="55" t="s">
        <v>198</v>
      </c>
      <c r="C322" s="3" t="s">
        <v>22</v>
      </c>
      <c r="D322" s="73">
        <v>1</v>
      </c>
    </row>
    <row r="323" spans="1:4" outlineLevel="1" x14ac:dyDescent="0.25">
      <c r="A323" s="2"/>
      <c r="B323" s="55" t="s">
        <v>199</v>
      </c>
      <c r="C323" s="3" t="s">
        <v>22</v>
      </c>
      <c r="D323" s="73">
        <v>1</v>
      </c>
    </row>
    <row r="324" spans="1:4" ht="25.5" outlineLevel="1" x14ac:dyDescent="0.25">
      <c r="A324" s="2"/>
      <c r="B324" s="55" t="s">
        <v>286</v>
      </c>
      <c r="C324" s="3" t="s">
        <v>19</v>
      </c>
      <c r="D324" s="73">
        <v>16</v>
      </c>
    </row>
    <row r="325" spans="1:4" outlineLevel="1" x14ac:dyDescent="0.25">
      <c r="A325" s="2"/>
      <c r="B325" s="120" t="s">
        <v>32</v>
      </c>
      <c r="C325" s="33" t="s">
        <v>19</v>
      </c>
      <c r="D325" s="122">
        <v>18</v>
      </c>
    </row>
    <row r="326" spans="1:4" s="67" customFormat="1" outlineLevel="1" x14ac:dyDescent="0.25">
      <c r="A326" s="79"/>
      <c r="B326" s="123" t="s">
        <v>279</v>
      </c>
      <c r="C326" s="128" t="s">
        <v>19</v>
      </c>
      <c r="D326" s="129">
        <v>18</v>
      </c>
    </row>
    <row r="327" spans="1:4" x14ac:dyDescent="0.2">
      <c r="A327" s="29" t="s">
        <v>38</v>
      </c>
      <c r="B327" s="44" t="s">
        <v>222</v>
      </c>
      <c r="C327" s="77" t="s">
        <v>105</v>
      </c>
      <c r="D327" s="104">
        <v>8</v>
      </c>
    </row>
    <row r="328" spans="1:4" ht="25.5" outlineLevel="1" x14ac:dyDescent="0.25">
      <c r="A328" s="2" t="s">
        <v>103</v>
      </c>
      <c r="B328" s="55" t="s">
        <v>224</v>
      </c>
      <c r="C328" s="3" t="s">
        <v>0</v>
      </c>
      <c r="D328" s="73">
        <f>D331+D329+D332+D330+D333+D336</f>
        <v>16.560000000000002</v>
      </c>
    </row>
    <row r="329" spans="1:4" s="14" customFormat="1" outlineLevel="1" x14ac:dyDescent="0.25">
      <c r="A329" s="57"/>
      <c r="B329" s="62" t="s">
        <v>230</v>
      </c>
      <c r="C329" s="63" t="s">
        <v>0</v>
      </c>
      <c r="D329" s="68">
        <f>0.4*16</f>
        <v>6.4</v>
      </c>
    </row>
    <row r="330" spans="1:4" s="14" customFormat="1" outlineLevel="1" x14ac:dyDescent="0.25">
      <c r="A330" s="57"/>
      <c r="B330" s="62" t="s">
        <v>231</v>
      </c>
      <c r="C330" s="63" t="s">
        <v>0</v>
      </c>
      <c r="D330" s="68">
        <f>0.05*8</f>
        <v>0.4</v>
      </c>
    </row>
    <row r="331" spans="1:4" s="14" customFormat="1" outlineLevel="1" x14ac:dyDescent="0.25">
      <c r="A331" s="57"/>
      <c r="B331" s="62" t="s">
        <v>227</v>
      </c>
      <c r="C331" s="63" t="s">
        <v>0</v>
      </c>
      <c r="D331" s="68">
        <f>0.38*8</f>
        <v>3.04</v>
      </c>
    </row>
    <row r="332" spans="1:4" s="14" customFormat="1" outlineLevel="1" x14ac:dyDescent="0.25">
      <c r="A332" s="57"/>
      <c r="B332" s="62" t="s">
        <v>228</v>
      </c>
      <c r="C332" s="63" t="s">
        <v>0</v>
      </c>
      <c r="D332" s="68">
        <f>0.27*8</f>
        <v>2.16</v>
      </c>
    </row>
    <row r="333" spans="1:4" s="14" customFormat="1" outlineLevel="1" x14ac:dyDescent="0.25">
      <c r="A333" s="57"/>
      <c r="B333" s="62" t="s">
        <v>232</v>
      </c>
      <c r="C333" s="63" t="s">
        <v>0</v>
      </c>
      <c r="D333" s="68">
        <f>0.02*8</f>
        <v>0.16</v>
      </c>
    </row>
    <row r="334" spans="1:4" s="14" customFormat="1" outlineLevel="1" x14ac:dyDescent="0.25">
      <c r="A334" s="57"/>
      <c r="B334" s="113" t="s">
        <v>29</v>
      </c>
      <c r="C334" s="63" t="s">
        <v>22</v>
      </c>
      <c r="D334" s="114">
        <v>5</v>
      </c>
    </row>
    <row r="335" spans="1:4" s="14" customFormat="1" outlineLevel="1" x14ac:dyDescent="0.25">
      <c r="A335" s="57"/>
      <c r="B335" s="113" t="s">
        <v>233</v>
      </c>
      <c r="C335" s="63" t="s">
        <v>22</v>
      </c>
      <c r="D335" s="114">
        <v>3</v>
      </c>
    </row>
    <row r="336" spans="1:4" outlineLevel="1" x14ac:dyDescent="0.25">
      <c r="A336" s="2"/>
      <c r="B336" s="184" t="s">
        <v>234</v>
      </c>
      <c r="C336" s="33" t="s">
        <v>0</v>
      </c>
      <c r="D336" s="75">
        <f>0.55*8</f>
        <v>4.4000000000000004</v>
      </c>
    </row>
    <row r="337" spans="1:4" s="14" customFormat="1" outlineLevel="1" x14ac:dyDescent="0.25">
      <c r="A337" s="57"/>
      <c r="B337" s="62" t="s">
        <v>235</v>
      </c>
      <c r="C337" s="63" t="s">
        <v>23</v>
      </c>
      <c r="D337" s="114">
        <f>3*16.25</f>
        <v>48.75</v>
      </c>
    </row>
    <row r="338" spans="1:4" s="14" customFormat="1" outlineLevel="1" x14ac:dyDescent="0.25">
      <c r="A338" s="57"/>
      <c r="B338" s="62" t="s">
        <v>236</v>
      </c>
      <c r="C338" s="63" t="s">
        <v>23</v>
      </c>
      <c r="D338" s="114">
        <f>2*21.7</f>
        <v>43.4</v>
      </c>
    </row>
    <row r="339" spans="1:4" outlineLevel="1" x14ac:dyDescent="0.25">
      <c r="A339" s="2"/>
      <c r="B339" s="62" t="s">
        <v>237</v>
      </c>
      <c r="C339" s="63" t="s">
        <v>23</v>
      </c>
      <c r="D339" s="37">
        <f>3*33.8</f>
        <v>101.39999999999999</v>
      </c>
    </row>
    <row r="340" spans="1:4" outlineLevel="1" x14ac:dyDescent="0.25">
      <c r="A340" s="2"/>
      <c r="B340" s="120" t="s">
        <v>167</v>
      </c>
      <c r="C340" s="33" t="s">
        <v>22</v>
      </c>
      <c r="D340" s="37">
        <v>12</v>
      </c>
    </row>
    <row r="341" spans="1:4" outlineLevel="1" x14ac:dyDescent="0.25">
      <c r="A341" s="2"/>
      <c r="B341" s="120" t="s">
        <v>28</v>
      </c>
      <c r="C341" s="33" t="s">
        <v>22</v>
      </c>
      <c r="D341" s="114">
        <v>4</v>
      </c>
    </row>
    <row r="342" spans="1:4" outlineLevel="1" x14ac:dyDescent="0.25">
      <c r="A342" s="2" t="s">
        <v>196</v>
      </c>
      <c r="B342" s="55" t="s">
        <v>26</v>
      </c>
      <c r="C342" s="37" t="s">
        <v>6</v>
      </c>
      <c r="D342" s="73">
        <f>12.72*8</f>
        <v>101.76</v>
      </c>
    </row>
    <row r="343" spans="1:4" outlineLevel="1" x14ac:dyDescent="0.25">
      <c r="A343" s="2"/>
      <c r="B343" s="74" t="s">
        <v>156</v>
      </c>
      <c r="C343" s="33" t="s">
        <v>23</v>
      </c>
      <c r="D343" s="75">
        <v>244.22</v>
      </c>
    </row>
    <row r="344" spans="1:4" outlineLevel="1" x14ac:dyDescent="0.25">
      <c r="A344" s="2"/>
      <c r="B344" s="123" t="s">
        <v>209</v>
      </c>
      <c r="C344" s="3" t="s">
        <v>22</v>
      </c>
      <c r="D344" s="114">
        <f>D345+D346</f>
        <v>16</v>
      </c>
    </row>
    <row r="345" spans="1:4" outlineLevel="1" x14ac:dyDescent="0.25">
      <c r="A345" s="2"/>
      <c r="B345" s="120" t="s">
        <v>169</v>
      </c>
      <c r="C345" s="33" t="s">
        <v>22</v>
      </c>
      <c r="D345" s="114">
        <v>14</v>
      </c>
    </row>
    <row r="346" spans="1:4" outlineLevel="1" x14ac:dyDescent="0.25">
      <c r="A346" s="2"/>
      <c r="B346" s="120" t="s">
        <v>170</v>
      </c>
      <c r="C346" s="33" t="s">
        <v>22</v>
      </c>
      <c r="D346" s="114">
        <v>2</v>
      </c>
    </row>
    <row r="347" spans="1:4" x14ac:dyDescent="0.25">
      <c r="A347" s="29" t="s">
        <v>101</v>
      </c>
      <c r="B347" s="30" t="s">
        <v>238</v>
      </c>
      <c r="C347" s="77" t="s">
        <v>266</v>
      </c>
      <c r="D347" s="78">
        <f>D350+D348</f>
        <v>19.5</v>
      </c>
    </row>
    <row r="348" spans="1:4" outlineLevel="1" x14ac:dyDescent="0.25">
      <c r="A348" s="2" t="s">
        <v>249</v>
      </c>
      <c r="B348" s="121" t="s">
        <v>292</v>
      </c>
      <c r="C348" s="33" t="s">
        <v>19</v>
      </c>
      <c r="D348" s="122">
        <v>9.5</v>
      </c>
    </row>
    <row r="349" spans="1:4" outlineLevel="1" x14ac:dyDescent="0.25">
      <c r="A349" s="2"/>
      <c r="B349" s="124" t="s">
        <v>182</v>
      </c>
      <c r="C349" s="33" t="s">
        <v>19</v>
      </c>
      <c r="D349" s="122">
        <v>9.5</v>
      </c>
    </row>
    <row r="350" spans="1:4" ht="25.5" outlineLevel="1" x14ac:dyDescent="0.25">
      <c r="A350" s="2" t="s">
        <v>181</v>
      </c>
      <c r="B350" s="82" t="s">
        <v>247</v>
      </c>
      <c r="C350" s="38" t="s">
        <v>19</v>
      </c>
      <c r="D350" s="64">
        <v>10</v>
      </c>
    </row>
    <row r="351" spans="1:4" outlineLevel="1" x14ac:dyDescent="0.25">
      <c r="A351" s="2"/>
      <c r="B351" s="124" t="s">
        <v>176</v>
      </c>
      <c r="C351" s="33" t="s">
        <v>19</v>
      </c>
      <c r="D351" s="122">
        <v>10.37</v>
      </c>
    </row>
    <row r="352" spans="1:4" s="127" customFormat="1" x14ac:dyDescent="0.25">
      <c r="A352" s="132" t="s">
        <v>69</v>
      </c>
      <c r="B352" s="30" t="s">
        <v>293</v>
      </c>
      <c r="C352" s="134" t="s">
        <v>266</v>
      </c>
      <c r="D352" s="135">
        <f>D353+D362+D371+D380+D389</f>
        <v>138</v>
      </c>
    </row>
    <row r="353" spans="1:4" outlineLevel="1" x14ac:dyDescent="0.25">
      <c r="A353" s="88" t="s">
        <v>253</v>
      </c>
      <c r="B353" s="82" t="s">
        <v>240</v>
      </c>
      <c r="C353" s="47" t="s">
        <v>24</v>
      </c>
      <c r="D353" s="48">
        <v>33</v>
      </c>
    </row>
    <row r="354" spans="1:4" outlineLevel="1" x14ac:dyDescent="0.25">
      <c r="A354" s="2"/>
      <c r="B354" s="55" t="s">
        <v>138</v>
      </c>
      <c r="C354" s="3" t="s">
        <v>0</v>
      </c>
      <c r="D354" s="73">
        <v>6.5</v>
      </c>
    </row>
    <row r="355" spans="1:4" outlineLevel="1" x14ac:dyDescent="0.25">
      <c r="A355" s="2"/>
      <c r="B355" s="55" t="s">
        <v>139</v>
      </c>
      <c r="C355" s="3" t="s">
        <v>0</v>
      </c>
      <c r="D355" s="73">
        <v>6.5</v>
      </c>
    </row>
    <row r="356" spans="1:4" outlineLevel="1" x14ac:dyDescent="0.25">
      <c r="A356" s="2"/>
      <c r="B356" s="55" t="s">
        <v>190</v>
      </c>
      <c r="C356" s="3" t="s">
        <v>0</v>
      </c>
      <c r="D356" s="73">
        <v>6.5</v>
      </c>
    </row>
    <row r="357" spans="1:4" outlineLevel="1" x14ac:dyDescent="0.25">
      <c r="A357" s="2"/>
      <c r="B357" s="55" t="s">
        <v>198</v>
      </c>
      <c r="C357" s="3" t="s">
        <v>22</v>
      </c>
      <c r="D357" s="73">
        <v>1</v>
      </c>
    </row>
    <row r="358" spans="1:4" outlineLevel="1" x14ac:dyDescent="0.25">
      <c r="A358" s="2"/>
      <c r="B358" s="55" t="s">
        <v>199</v>
      </c>
      <c r="C358" s="3" t="s">
        <v>22</v>
      </c>
      <c r="D358" s="73">
        <v>1</v>
      </c>
    </row>
    <row r="359" spans="1:4" ht="25.5" outlineLevel="1" x14ac:dyDescent="0.25">
      <c r="A359" s="2"/>
      <c r="B359" s="55" t="s">
        <v>287</v>
      </c>
      <c r="C359" s="3" t="s">
        <v>19</v>
      </c>
      <c r="D359" s="73">
        <v>33</v>
      </c>
    </row>
    <row r="360" spans="1:4" outlineLevel="1" x14ac:dyDescent="0.25">
      <c r="A360" s="2"/>
      <c r="B360" s="124" t="s">
        <v>176</v>
      </c>
      <c r="C360" s="33" t="s">
        <v>19</v>
      </c>
      <c r="D360" s="75">
        <v>35.5</v>
      </c>
    </row>
    <row r="361" spans="1:4" s="67" customFormat="1" outlineLevel="1" x14ac:dyDescent="0.25">
      <c r="A361" s="79"/>
      <c r="B361" s="107" t="s">
        <v>239</v>
      </c>
      <c r="C361" s="128" t="s">
        <v>19</v>
      </c>
      <c r="D361" s="129">
        <v>35.5</v>
      </c>
    </row>
    <row r="362" spans="1:4" outlineLevel="1" x14ac:dyDescent="0.25">
      <c r="A362" s="2" t="s">
        <v>254</v>
      </c>
      <c r="B362" s="82" t="s">
        <v>177</v>
      </c>
      <c r="C362" s="3" t="s">
        <v>24</v>
      </c>
      <c r="D362" s="61">
        <v>27</v>
      </c>
    </row>
    <row r="363" spans="1:4" outlineLevel="1" x14ac:dyDescent="0.25">
      <c r="A363" s="2"/>
      <c r="B363" s="55" t="s">
        <v>138</v>
      </c>
      <c r="C363" s="3" t="s">
        <v>0</v>
      </c>
      <c r="D363" s="73">
        <v>6.5</v>
      </c>
    </row>
    <row r="364" spans="1:4" outlineLevel="1" x14ac:dyDescent="0.25">
      <c r="A364" s="2"/>
      <c r="B364" s="55" t="s">
        <v>139</v>
      </c>
      <c r="C364" s="3" t="s">
        <v>0</v>
      </c>
      <c r="D364" s="73">
        <v>6.5</v>
      </c>
    </row>
    <row r="365" spans="1:4" outlineLevel="1" x14ac:dyDescent="0.25">
      <c r="A365" s="2"/>
      <c r="B365" s="55" t="s">
        <v>190</v>
      </c>
      <c r="C365" s="3" t="s">
        <v>0</v>
      </c>
      <c r="D365" s="73">
        <v>6.5</v>
      </c>
    </row>
    <row r="366" spans="1:4" outlineLevel="1" x14ac:dyDescent="0.25">
      <c r="A366" s="2"/>
      <c r="B366" s="55" t="s">
        <v>198</v>
      </c>
      <c r="C366" s="3" t="s">
        <v>22</v>
      </c>
      <c r="D366" s="73">
        <v>1</v>
      </c>
    </row>
    <row r="367" spans="1:4" outlineLevel="1" x14ac:dyDescent="0.25">
      <c r="A367" s="2"/>
      <c r="B367" s="55" t="s">
        <v>199</v>
      </c>
      <c r="C367" s="3" t="s">
        <v>22</v>
      </c>
      <c r="D367" s="73">
        <v>1</v>
      </c>
    </row>
    <row r="368" spans="1:4" ht="25.5" outlineLevel="1" x14ac:dyDescent="0.25">
      <c r="A368" s="2"/>
      <c r="B368" s="55" t="s">
        <v>288</v>
      </c>
      <c r="C368" s="3" t="s">
        <v>19</v>
      </c>
      <c r="D368" s="73">
        <v>27</v>
      </c>
    </row>
    <row r="369" spans="1:4" outlineLevel="1" x14ac:dyDescent="0.25">
      <c r="A369" s="2"/>
      <c r="B369" s="124" t="s">
        <v>176</v>
      </c>
      <c r="C369" s="33" t="s">
        <v>19</v>
      </c>
      <c r="D369" s="75">
        <v>29</v>
      </c>
    </row>
    <row r="370" spans="1:4" s="67" customFormat="1" outlineLevel="1" x14ac:dyDescent="0.25">
      <c r="A370" s="79"/>
      <c r="B370" s="107" t="s">
        <v>239</v>
      </c>
      <c r="C370" s="128" t="s">
        <v>19</v>
      </c>
      <c r="D370" s="129">
        <f>D368</f>
        <v>27</v>
      </c>
    </row>
    <row r="371" spans="1:4" outlineLevel="1" x14ac:dyDescent="0.25">
      <c r="A371" s="2" t="s">
        <v>255</v>
      </c>
      <c r="B371" s="82" t="s">
        <v>178</v>
      </c>
      <c r="C371" s="47" t="s">
        <v>24</v>
      </c>
      <c r="D371" s="48">
        <v>52</v>
      </c>
    </row>
    <row r="372" spans="1:4" outlineLevel="1" x14ac:dyDescent="0.25">
      <c r="A372" s="2"/>
      <c r="B372" s="55" t="s">
        <v>138</v>
      </c>
      <c r="C372" s="3" t="s">
        <v>0</v>
      </c>
      <c r="D372" s="73">
        <v>6.5</v>
      </c>
    </row>
    <row r="373" spans="1:4" outlineLevel="1" x14ac:dyDescent="0.25">
      <c r="A373" s="2"/>
      <c r="B373" s="55" t="s">
        <v>139</v>
      </c>
      <c r="C373" s="3" t="s">
        <v>0</v>
      </c>
      <c r="D373" s="73">
        <v>6.5</v>
      </c>
    </row>
    <row r="374" spans="1:4" outlineLevel="1" x14ac:dyDescent="0.25">
      <c r="A374" s="2"/>
      <c r="B374" s="55" t="s">
        <v>190</v>
      </c>
      <c r="C374" s="3" t="s">
        <v>0</v>
      </c>
      <c r="D374" s="73">
        <v>6.5</v>
      </c>
    </row>
    <row r="375" spans="1:4" outlineLevel="1" x14ac:dyDescent="0.25">
      <c r="A375" s="2"/>
      <c r="B375" s="55" t="s">
        <v>198</v>
      </c>
      <c r="C375" s="3" t="s">
        <v>22</v>
      </c>
      <c r="D375" s="73">
        <v>1</v>
      </c>
    </row>
    <row r="376" spans="1:4" outlineLevel="1" x14ac:dyDescent="0.25">
      <c r="A376" s="2"/>
      <c r="B376" s="55" t="s">
        <v>199</v>
      </c>
      <c r="C376" s="3" t="s">
        <v>22</v>
      </c>
      <c r="D376" s="73">
        <v>1</v>
      </c>
    </row>
    <row r="377" spans="1:4" ht="25.5" outlineLevel="1" x14ac:dyDescent="0.25">
      <c r="A377" s="2"/>
      <c r="B377" s="55" t="s">
        <v>289</v>
      </c>
      <c r="C377" s="3" t="s">
        <v>19</v>
      </c>
      <c r="D377" s="73">
        <v>52</v>
      </c>
    </row>
    <row r="378" spans="1:4" outlineLevel="1" x14ac:dyDescent="0.25">
      <c r="A378" s="2"/>
      <c r="B378" s="124" t="s">
        <v>176</v>
      </c>
      <c r="C378" s="33" t="s">
        <v>19</v>
      </c>
      <c r="D378" s="75">
        <v>54</v>
      </c>
    </row>
    <row r="379" spans="1:4" s="67" customFormat="1" outlineLevel="1" x14ac:dyDescent="0.25">
      <c r="A379" s="79"/>
      <c r="B379" s="107" t="s">
        <v>239</v>
      </c>
      <c r="C379" s="128" t="s">
        <v>19</v>
      </c>
      <c r="D379" s="129">
        <v>54</v>
      </c>
    </row>
    <row r="380" spans="1:4" outlineLevel="1" x14ac:dyDescent="0.25">
      <c r="A380" s="2" t="s">
        <v>256</v>
      </c>
      <c r="B380" s="82" t="s">
        <v>179</v>
      </c>
      <c r="C380" s="3" t="s">
        <v>24</v>
      </c>
      <c r="D380" s="61">
        <v>16</v>
      </c>
    </row>
    <row r="381" spans="1:4" outlineLevel="1" x14ac:dyDescent="0.25">
      <c r="A381" s="2"/>
      <c r="B381" s="55" t="s">
        <v>138</v>
      </c>
      <c r="C381" s="3" t="s">
        <v>0</v>
      </c>
      <c r="D381" s="73">
        <v>6.5</v>
      </c>
    </row>
    <row r="382" spans="1:4" outlineLevel="1" x14ac:dyDescent="0.25">
      <c r="A382" s="2"/>
      <c r="B382" s="55" t="s">
        <v>139</v>
      </c>
      <c r="C382" s="3" t="s">
        <v>0</v>
      </c>
      <c r="D382" s="73">
        <v>6.5</v>
      </c>
    </row>
    <row r="383" spans="1:4" outlineLevel="1" x14ac:dyDescent="0.25">
      <c r="A383" s="2"/>
      <c r="B383" s="55" t="s">
        <v>190</v>
      </c>
      <c r="C383" s="3" t="s">
        <v>0</v>
      </c>
      <c r="D383" s="73">
        <v>6.5</v>
      </c>
    </row>
    <row r="384" spans="1:4" outlineLevel="1" x14ac:dyDescent="0.25">
      <c r="A384" s="2"/>
      <c r="B384" s="55" t="s">
        <v>198</v>
      </c>
      <c r="C384" s="3" t="s">
        <v>22</v>
      </c>
      <c r="D384" s="73">
        <v>1</v>
      </c>
    </row>
    <row r="385" spans="1:4" outlineLevel="1" x14ac:dyDescent="0.25">
      <c r="A385" s="2"/>
      <c r="B385" s="55" t="s">
        <v>199</v>
      </c>
      <c r="C385" s="3" t="s">
        <v>22</v>
      </c>
      <c r="D385" s="73">
        <v>1</v>
      </c>
    </row>
    <row r="386" spans="1:4" ht="25.5" outlineLevel="1" x14ac:dyDescent="0.25">
      <c r="A386" s="2"/>
      <c r="B386" s="55" t="s">
        <v>290</v>
      </c>
      <c r="C386" s="3" t="s">
        <v>19</v>
      </c>
      <c r="D386" s="73">
        <v>16</v>
      </c>
    </row>
    <row r="387" spans="1:4" outlineLevel="1" x14ac:dyDescent="0.25">
      <c r="A387" s="2"/>
      <c r="B387" s="124" t="s">
        <v>176</v>
      </c>
      <c r="C387" s="33" t="s">
        <v>19</v>
      </c>
      <c r="D387" s="75">
        <v>18</v>
      </c>
    </row>
    <row r="388" spans="1:4" s="67" customFormat="1" outlineLevel="1" x14ac:dyDescent="0.25">
      <c r="A388" s="79"/>
      <c r="B388" s="107" t="s">
        <v>239</v>
      </c>
      <c r="C388" s="128" t="s">
        <v>19</v>
      </c>
      <c r="D388" s="129">
        <v>18</v>
      </c>
    </row>
    <row r="389" spans="1:4" outlineLevel="1" x14ac:dyDescent="0.25">
      <c r="A389" s="2" t="s">
        <v>257</v>
      </c>
      <c r="B389" s="82" t="s">
        <v>180</v>
      </c>
      <c r="C389" s="3" t="s">
        <v>24</v>
      </c>
      <c r="D389" s="61">
        <v>10</v>
      </c>
    </row>
    <row r="390" spans="1:4" outlineLevel="1" x14ac:dyDescent="0.25">
      <c r="A390" s="2"/>
      <c r="B390" s="55" t="s">
        <v>138</v>
      </c>
      <c r="C390" s="3" t="s">
        <v>0</v>
      </c>
      <c r="D390" s="73">
        <v>6.5</v>
      </c>
    </row>
    <row r="391" spans="1:4" outlineLevel="1" x14ac:dyDescent="0.25">
      <c r="A391" s="2"/>
      <c r="B391" s="55" t="s">
        <v>139</v>
      </c>
      <c r="C391" s="3" t="s">
        <v>0</v>
      </c>
      <c r="D391" s="73">
        <v>6.5</v>
      </c>
    </row>
    <row r="392" spans="1:4" outlineLevel="1" x14ac:dyDescent="0.25">
      <c r="A392" s="2"/>
      <c r="B392" s="55" t="s">
        <v>190</v>
      </c>
      <c r="C392" s="3" t="s">
        <v>0</v>
      </c>
      <c r="D392" s="73">
        <v>6.5</v>
      </c>
    </row>
    <row r="393" spans="1:4" outlineLevel="1" x14ac:dyDescent="0.25">
      <c r="A393" s="2"/>
      <c r="B393" s="55" t="s">
        <v>198</v>
      </c>
      <c r="C393" s="3" t="s">
        <v>22</v>
      </c>
      <c r="D393" s="73">
        <v>1</v>
      </c>
    </row>
    <row r="394" spans="1:4" outlineLevel="1" x14ac:dyDescent="0.25">
      <c r="A394" s="2"/>
      <c r="B394" s="55" t="s">
        <v>199</v>
      </c>
      <c r="C394" s="3" t="s">
        <v>22</v>
      </c>
      <c r="D394" s="73">
        <v>1</v>
      </c>
    </row>
    <row r="395" spans="1:4" ht="25.5" outlineLevel="1" x14ac:dyDescent="0.25">
      <c r="A395" s="2"/>
      <c r="B395" s="55" t="s">
        <v>291</v>
      </c>
      <c r="C395" s="3" t="s">
        <v>19</v>
      </c>
      <c r="D395" s="73">
        <v>10</v>
      </c>
    </row>
    <row r="396" spans="1:4" outlineLevel="1" x14ac:dyDescent="0.25">
      <c r="A396" s="2"/>
      <c r="B396" s="124" t="s">
        <v>176</v>
      </c>
      <c r="C396" s="33" t="s">
        <v>19</v>
      </c>
      <c r="D396" s="75">
        <v>12</v>
      </c>
    </row>
    <row r="397" spans="1:4" s="67" customFormat="1" outlineLevel="1" x14ac:dyDescent="0.25">
      <c r="A397" s="79"/>
      <c r="B397" s="123" t="s">
        <v>239</v>
      </c>
      <c r="C397" s="128" t="s">
        <v>19</v>
      </c>
      <c r="D397" s="129">
        <v>12</v>
      </c>
    </row>
    <row r="398" spans="1:4" x14ac:dyDescent="0.2">
      <c r="A398" s="131" t="s">
        <v>258</v>
      </c>
      <c r="B398" s="133" t="s">
        <v>223</v>
      </c>
      <c r="C398" s="77" t="s">
        <v>105</v>
      </c>
      <c r="D398" s="104">
        <v>8</v>
      </c>
    </row>
    <row r="399" spans="1:4" ht="25.5" outlineLevel="1" x14ac:dyDescent="0.25">
      <c r="A399" s="2" t="s">
        <v>260</v>
      </c>
      <c r="B399" s="55" t="s">
        <v>241</v>
      </c>
      <c r="C399" s="3" t="s">
        <v>0</v>
      </c>
      <c r="D399" s="73">
        <f>D401+D402+D403+D404+D405+D400+D408</f>
        <v>21.64</v>
      </c>
    </row>
    <row r="400" spans="1:4" s="14" customFormat="1" outlineLevel="1" x14ac:dyDescent="0.25">
      <c r="A400" s="57"/>
      <c r="B400" s="62" t="s">
        <v>39</v>
      </c>
      <c r="C400" s="63" t="s">
        <v>0</v>
      </c>
      <c r="D400" s="68">
        <f>0.4*1</f>
        <v>0.4</v>
      </c>
    </row>
    <row r="401" spans="1:4" s="14" customFormat="1" outlineLevel="1" x14ac:dyDescent="0.25">
      <c r="A401" s="57"/>
      <c r="B401" s="62" t="s">
        <v>225</v>
      </c>
      <c r="C401" s="63" t="s">
        <v>0</v>
      </c>
      <c r="D401" s="68">
        <f>0.4*28</f>
        <v>11.200000000000001</v>
      </c>
    </row>
    <row r="402" spans="1:4" s="14" customFormat="1" outlineLevel="1" x14ac:dyDescent="0.25">
      <c r="A402" s="57"/>
      <c r="B402" s="62" t="s">
        <v>226</v>
      </c>
      <c r="C402" s="63" t="s">
        <v>0</v>
      </c>
      <c r="D402" s="68">
        <f>0.05*4</f>
        <v>0.2</v>
      </c>
    </row>
    <row r="403" spans="1:4" s="14" customFormat="1" outlineLevel="1" x14ac:dyDescent="0.25">
      <c r="A403" s="57"/>
      <c r="B403" s="62" t="s">
        <v>227</v>
      </c>
      <c r="C403" s="63" t="s">
        <v>0</v>
      </c>
      <c r="D403" s="68">
        <f>0.38*8</f>
        <v>3.04</v>
      </c>
    </row>
    <row r="404" spans="1:4" s="14" customFormat="1" outlineLevel="1" x14ac:dyDescent="0.25">
      <c r="A404" s="57"/>
      <c r="B404" s="62" t="s">
        <v>228</v>
      </c>
      <c r="C404" s="63" t="s">
        <v>0</v>
      </c>
      <c r="D404" s="68">
        <f>0.27*8</f>
        <v>2.16</v>
      </c>
    </row>
    <row r="405" spans="1:4" s="14" customFormat="1" outlineLevel="1" x14ac:dyDescent="0.25">
      <c r="A405" s="57"/>
      <c r="B405" s="113" t="s">
        <v>229</v>
      </c>
      <c r="C405" s="160" t="s">
        <v>0</v>
      </c>
      <c r="D405" s="68">
        <f>0.02*12</f>
        <v>0.24</v>
      </c>
    </row>
    <row r="406" spans="1:4" s="14" customFormat="1" outlineLevel="1" x14ac:dyDescent="0.25">
      <c r="A406" s="57"/>
      <c r="B406" s="113" t="s">
        <v>40</v>
      </c>
      <c r="C406" s="160" t="s">
        <v>22</v>
      </c>
      <c r="D406" s="114">
        <v>7</v>
      </c>
    </row>
    <row r="407" spans="1:4" s="14" customFormat="1" ht="13.5" customHeight="1" outlineLevel="1" x14ac:dyDescent="0.25">
      <c r="A407" s="57"/>
      <c r="B407" s="113" t="s">
        <v>233</v>
      </c>
      <c r="C407" s="160" t="s">
        <v>22</v>
      </c>
      <c r="D407" s="114">
        <v>1</v>
      </c>
    </row>
    <row r="408" spans="1:4" outlineLevel="1" x14ac:dyDescent="0.25">
      <c r="A408" s="2"/>
      <c r="B408" s="185" t="s">
        <v>242</v>
      </c>
      <c r="C408" s="160" t="s">
        <v>0</v>
      </c>
      <c r="D408" s="75">
        <f>0.55*8</f>
        <v>4.4000000000000004</v>
      </c>
    </row>
    <row r="409" spans="1:4" outlineLevel="1" x14ac:dyDescent="0.25">
      <c r="A409" s="2"/>
      <c r="B409" s="113" t="s">
        <v>244</v>
      </c>
      <c r="C409" s="160" t="s">
        <v>23</v>
      </c>
      <c r="D409" s="37">
        <f>2*28.5</f>
        <v>57</v>
      </c>
    </row>
    <row r="410" spans="1:4" outlineLevel="1" x14ac:dyDescent="0.25">
      <c r="A410" s="2"/>
      <c r="B410" s="113" t="s">
        <v>243</v>
      </c>
      <c r="C410" s="160" t="s">
        <v>23</v>
      </c>
      <c r="D410" s="37">
        <f>2*35.2</f>
        <v>70.400000000000006</v>
      </c>
    </row>
    <row r="411" spans="1:4" outlineLevel="1" x14ac:dyDescent="0.25">
      <c r="A411" s="2"/>
      <c r="B411" s="113" t="s">
        <v>245</v>
      </c>
      <c r="C411" s="160" t="s">
        <v>23</v>
      </c>
      <c r="D411" s="37">
        <f>1*41.8</f>
        <v>41.8</v>
      </c>
    </row>
    <row r="412" spans="1:4" outlineLevel="1" x14ac:dyDescent="0.25">
      <c r="A412" s="2"/>
      <c r="B412" s="113" t="s">
        <v>246</v>
      </c>
      <c r="C412" s="160" t="s">
        <v>23</v>
      </c>
      <c r="D412" s="37">
        <f>3*55.7</f>
        <v>167.10000000000002</v>
      </c>
    </row>
    <row r="413" spans="1:4" outlineLevel="1" x14ac:dyDescent="0.25">
      <c r="A413" s="2"/>
      <c r="B413" s="186" t="s">
        <v>168</v>
      </c>
      <c r="C413" s="160" t="s">
        <v>22</v>
      </c>
      <c r="D413" s="114">
        <v>14</v>
      </c>
    </row>
    <row r="414" spans="1:4" outlineLevel="1" x14ac:dyDescent="0.25">
      <c r="A414" s="2"/>
      <c r="B414" s="186" t="s">
        <v>167</v>
      </c>
      <c r="C414" s="160" t="s">
        <v>22</v>
      </c>
      <c r="D414" s="37">
        <v>2</v>
      </c>
    </row>
    <row r="415" spans="1:4" outlineLevel="1" x14ac:dyDescent="0.25">
      <c r="A415" s="2" t="s">
        <v>261</v>
      </c>
      <c r="B415" s="154" t="s">
        <v>26</v>
      </c>
      <c r="C415" s="42" t="s">
        <v>6</v>
      </c>
      <c r="D415" s="73">
        <f>142.7</f>
        <v>142.69999999999999</v>
      </c>
    </row>
    <row r="416" spans="1:4" outlineLevel="1" x14ac:dyDescent="0.25">
      <c r="A416" s="2"/>
      <c r="B416" s="74" t="s">
        <v>156</v>
      </c>
      <c r="C416" s="33" t="s">
        <v>23</v>
      </c>
      <c r="D416" s="75">
        <v>342.48</v>
      </c>
    </row>
    <row r="417" spans="1:4" outlineLevel="1" x14ac:dyDescent="0.25">
      <c r="A417" s="2"/>
      <c r="B417" s="123" t="s">
        <v>209</v>
      </c>
      <c r="C417" s="3" t="s">
        <v>22</v>
      </c>
      <c r="D417" s="130">
        <f>D418</f>
        <v>13</v>
      </c>
    </row>
    <row r="418" spans="1:4" outlineLevel="1" x14ac:dyDescent="0.25">
      <c r="A418" s="2"/>
      <c r="B418" s="120" t="s">
        <v>171</v>
      </c>
      <c r="C418" s="33" t="s">
        <v>22</v>
      </c>
      <c r="D418" s="114">
        <v>13</v>
      </c>
    </row>
    <row r="419" spans="1:4" x14ac:dyDescent="0.25">
      <c r="A419" s="29" t="s">
        <v>259</v>
      </c>
      <c r="B419" s="125" t="s">
        <v>100</v>
      </c>
      <c r="C419" s="77" t="s">
        <v>6</v>
      </c>
      <c r="D419" s="103">
        <f>D424</f>
        <v>167</v>
      </c>
    </row>
    <row r="420" spans="1:4" outlineLevel="1" x14ac:dyDescent="0.25">
      <c r="A420" s="2" t="s">
        <v>262</v>
      </c>
      <c r="B420" s="56" t="s">
        <v>90</v>
      </c>
      <c r="C420" s="99" t="s">
        <v>0</v>
      </c>
      <c r="D420" s="100">
        <v>223.78</v>
      </c>
    </row>
    <row r="421" spans="1:4" outlineLevel="1" x14ac:dyDescent="0.25">
      <c r="A421" s="81"/>
      <c r="B421" s="91" t="s">
        <v>91</v>
      </c>
      <c r="C421" s="92" t="s">
        <v>0</v>
      </c>
      <c r="D421" s="93">
        <v>246.15799999999999</v>
      </c>
    </row>
    <row r="422" spans="1:4" outlineLevel="1" x14ac:dyDescent="0.25">
      <c r="A422" s="2" t="s">
        <v>263</v>
      </c>
      <c r="B422" s="56" t="s">
        <v>92</v>
      </c>
      <c r="C422" s="80" t="s">
        <v>0</v>
      </c>
      <c r="D422" s="89">
        <v>41.75</v>
      </c>
    </row>
    <row r="423" spans="1:4" ht="25.5" outlineLevel="1" x14ac:dyDescent="0.25">
      <c r="A423" s="2"/>
      <c r="B423" s="91" t="s">
        <v>93</v>
      </c>
      <c r="C423" s="92" t="s">
        <v>0</v>
      </c>
      <c r="D423" s="93">
        <v>52.604999999999997</v>
      </c>
    </row>
    <row r="424" spans="1:4" ht="25.5" outlineLevel="1" x14ac:dyDescent="0.25">
      <c r="A424" s="2" t="s">
        <v>264</v>
      </c>
      <c r="B424" s="56" t="s">
        <v>94</v>
      </c>
      <c r="C424" s="80" t="s">
        <v>6</v>
      </c>
      <c r="D424" s="102">
        <v>167</v>
      </c>
    </row>
    <row r="425" spans="1:4" outlineLevel="1" x14ac:dyDescent="0.25">
      <c r="A425" s="2"/>
      <c r="B425" s="91" t="s">
        <v>95</v>
      </c>
      <c r="C425" s="92" t="s">
        <v>96</v>
      </c>
      <c r="D425" s="93">
        <v>0.1169</v>
      </c>
    </row>
    <row r="426" spans="1:4" outlineLevel="1" x14ac:dyDescent="0.25">
      <c r="A426" s="2"/>
      <c r="B426" s="91" t="s">
        <v>97</v>
      </c>
      <c r="C426" s="92" t="s">
        <v>96</v>
      </c>
      <c r="D426" s="93">
        <v>24.2484</v>
      </c>
    </row>
    <row r="427" spans="1:4" ht="25.5" outlineLevel="1" x14ac:dyDescent="0.25">
      <c r="A427" s="2" t="s">
        <v>265</v>
      </c>
      <c r="B427" s="56" t="s">
        <v>98</v>
      </c>
      <c r="C427" s="80" t="s">
        <v>6</v>
      </c>
      <c r="D427" s="102">
        <v>167</v>
      </c>
    </row>
    <row r="428" spans="1:4" outlineLevel="1" x14ac:dyDescent="0.25">
      <c r="A428" s="2"/>
      <c r="B428" s="91" t="s">
        <v>95</v>
      </c>
      <c r="C428" s="92" t="s">
        <v>96</v>
      </c>
      <c r="D428" s="93">
        <v>0.1169</v>
      </c>
    </row>
    <row r="429" spans="1:4" outlineLevel="1" x14ac:dyDescent="0.25">
      <c r="A429" s="81"/>
      <c r="B429" s="91" t="s">
        <v>99</v>
      </c>
      <c r="C429" s="92" t="s">
        <v>96</v>
      </c>
      <c r="D429" s="93">
        <v>16.165600000000001</v>
      </c>
    </row>
  </sheetData>
  <autoFilter ref="A8:D429" xr:uid="{00000000-0001-0000-0000-000000000000}"/>
  <mergeCells count="5">
    <mergeCell ref="A2:D2"/>
    <mergeCell ref="A1:D1"/>
    <mergeCell ref="A3:D3"/>
    <mergeCell ref="A4:D4"/>
    <mergeCell ref="A5:D5"/>
  </mergeCells>
  <phoneticPr fontId="2" type="noConversion"/>
  <pageMargins left="0.39370078740157483" right="0.19685039370078741" top="0.39370078740157483" bottom="0.19685039370078741" header="0.51181102362204722" footer="0.15748031496062992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 07.07.25</vt:lpstr>
      <vt:lpstr>'ВОР 07.07.25'!Область_печати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Розанов Дмитрий Юрьевич</dc:creator>
  <cp:lastModifiedBy>Сергиенко Татьяна Сергеевна</cp:lastModifiedBy>
  <cp:lastPrinted>2025-06-06T07:07:54Z</cp:lastPrinted>
  <dcterms:created xsi:type="dcterms:W3CDTF">2015-06-05T18:19:34Z</dcterms:created>
  <dcterms:modified xsi:type="dcterms:W3CDTF">2025-08-08T13:30:29Z</dcterms:modified>
</cp:coreProperties>
</file>