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Департамент строительства Термы\СТО\Термы_Смоленск\сметы тендер\883_вынос инж.сетей\"/>
    </mc:Choice>
  </mc:AlternateContent>
  <xr:revisionPtr revIDLastSave="0" documentId="13_ncr:1_{3C263B10-B5DB-45C0-BBED-C47585A0660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ВОР 07.07.25" sheetId="1" r:id="rId1"/>
  </sheets>
  <definedNames>
    <definedName name="_xlnm._FilterDatabase" localSheetId="0" hidden="1">'ВОР 07.07.25'!$A$8:$K$429</definedName>
    <definedName name="_xlnm.Print_Area" localSheetId="0">'ВОР 07.07.25'!$A$1:$J$429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2" i="1" l="1"/>
  <c r="D352" i="1"/>
  <c r="G419" i="1"/>
  <c r="G398" i="1"/>
  <c r="H398" i="1" s="1"/>
  <c r="G352" i="1"/>
  <c r="H352" i="1" s="1"/>
  <c r="G347" i="1"/>
  <c r="G327" i="1"/>
  <c r="G252" i="1"/>
  <c r="G237" i="1"/>
  <c r="H237" i="1"/>
  <c r="H419" i="1"/>
  <c r="H347" i="1"/>
  <c r="I347" i="1" s="1"/>
  <c r="H327" i="1"/>
  <c r="H252" i="1"/>
  <c r="H233" i="1"/>
  <c r="G97" i="1"/>
  <c r="G24" i="1"/>
  <c r="D370" i="1"/>
  <c r="D347" i="1"/>
  <c r="D237" i="1"/>
  <c r="I243" i="1"/>
  <c r="I244" i="1"/>
  <c r="I246" i="1"/>
  <c r="I247" i="1"/>
  <c r="I248" i="1"/>
  <c r="I249" i="1"/>
  <c r="I250" i="1"/>
  <c r="I241" i="1"/>
  <c r="I240" i="1"/>
  <c r="I239" i="1"/>
  <c r="I238" i="1"/>
  <c r="I352" i="1" l="1"/>
  <c r="F352" i="1" l="1"/>
  <c r="E398" i="1"/>
  <c r="E327" i="1"/>
  <c r="G218" i="1"/>
  <c r="H218" i="1" s="1"/>
  <c r="G184" i="1"/>
  <c r="H184" i="1" s="1"/>
  <c r="G205" i="1"/>
  <c r="H205" i="1" s="1"/>
  <c r="G162" i="1"/>
  <c r="H162" i="1" s="1"/>
  <c r="D417" i="1"/>
  <c r="D412" i="1"/>
  <c r="D411" i="1"/>
  <c r="D409" i="1"/>
  <c r="D410" i="1"/>
  <c r="H158" i="1"/>
  <c r="D415" i="1"/>
  <c r="D408" i="1"/>
  <c r="I397" i="1"/>
  <c r="I388" i="1"/>
  <c r="I379" i="1"/>
  <c r="I370" i="1"/>
  <c r="I361" i="1"/>
  <c r="I326" i="1"/>
  <c r="I316" i="1"/>
  <c r="I306" i="1"/>
  <c r="I296" i="1"/>
  <c r="I284" i="1"/>
  <c r="I272" i="1"/>
  <c r="I262" i="1"/>
  <c r="D344" i="1"/>
  <c r="D338" i="1"/>
  <c r="D339" i="1"/>
  <c r="D337" i="1"/>
  <c r="D342" i="1"/>
  <c r="D336" i="1"/>
  <c r="D333" i="1"/>
  <c r="D330" i="1"/>
  <c r="D329" i="1"/>
  <c r="I413" i="1"/>
  <c r="I414" i="1"/>
  <c r="I408" i="1"/>
  <c r="I412" i="1"/>
  <c r="I411" i="1"/>
  <c r="I410" i="1"/>
  <c r="I409" i="1"/>
  <c r="I407" i="1"/>
  <c r="I406" i="1"/>
  <c r="I405" i="1"/>
  <c r="D405" i="1"/>
  <c r="I404" i="1"/>
  <c r="D404" i="1"/>
  <c r="I403" i="1"/>
  <c r="D403" i="1"/>
  <c r="I402" i="1"/>
  <c r="D402" i="1"/>
  <c r="I401" i="1"/>
  <c r="D401" i="1"/>
  <c r="I400" i="1"/>
  <c r="D400" i="1"/>
  <c r="D332" i="1"/>
  <c r="D331" i="1"/>
  <c r="I416" i="1"/>
  <c r="I415" i="1"/>
  <c r="D205" i="1"/>
  <c r="D180" i="1"/>
  <c r="E180" i="1" s="1"/>
  <c r="G146" i="1"/>
  <c r="H146" i="1" s="1"/>
  <c r="H97" i="1"/>
  <c r="G90" i="1"/>
  <c r="H90" i="1" s="1"/>
  <c r="G49" i="1"/>
  <c r="H24" i="1"/>
  <c r="D227" i="1"/>
  <c r="D231" i="1"/>
  <c r="D230" i="1"/>
  <c r="D226" i="1"/>
  <c r="D214" i="1"/>
  <c r="D212" i="1"/>
  <c r="D209" i="1"/>
  <c r="D215" i="1"/>
  <c r="I211" i="1"/>
  <c r="D211" i="1"/>
  <c r="I210" i="1"/>
  <c r="I212" i="1"/>
  <c r="D207" i="1"/>
  <c r="D193" i="1"/>
  <c r="D195" i="1" s="1"/>
  <c r="D185" i="1"/>
  <c r="D204" i="1"/>
  <c r="I193" i="1"/>
  <c r="F11" i="1"/>
  <c r="D196" i="1"/>
  <c r="I201" i="1"/>
  <c r="I190" i="1"/>
  <c r="D182" i="1"/>
  <c r="D178" i="1"/>
  <c r="I179" i="1"/>
  <c r="I178" i="1"/>
  <c r="D174" i="1"/>
  <c r="D173" i="1"/>
  <c r="D169" i="1"/>
  <c r="I165" i="1"/>
  <c r="D159" i="1"/>
  <c r="D158" i="1" s="1"/>
  <c r="E158" i="1" s="1"/>
  <c r="E11" i="1"/>
  <c r="D419" i="1"/>
  <c r="E419" i="1" s="1"/>
  <c r="F347" i="1"/>
  <c r="E252" i="1"/>
  <c r="F237" i="1"/>
  <c r="D236" i="1"/>
  <c r="D235" i="1"/>
  <c r="D233" i="1"/>
  <c r="E233" i="1" s="1"/>
  <c r="D183" i="1"/>
  <c r="D224" i="1"/>
  <c r="D221" i="1"/>
  <c r="D223" i="1"/>
  <c r="D220" i="1"/>
  <c r="D222" i="1"/>
  <c r="D168" i="1"/>
  <c r="D167" i="1"/>
  <c r="D49" i="1"/>
  <c r="D24" i="1"/>
  <c r="D399" i="1" l="1"/>
  <c r="E352" i="1"/>
  <c r="F233" i="1"/>
  <c r="E347" i="1"/>
  <c r="E237" i="1"/>
  <c r="F205" i="1"/>
  <c r="D328" i="1"/>
  <c r="F398" i="1"/>
  <c r="E205" i="1"/>
  <c r="D184" i="1"/>
  <c r="H49" i="1"/>
  <c r="I49" i="1" s="1"/>
  <c r="F97" i="1"/>
  <c r="I11" i="1"/>
  <c r="E49" i="1"/>
  <c r="D162" i="1"/>
  <c r="E162" i="1" s="1"/>
  <c r="E97" i="1"/>
  <c r="E24" i="1"/>
  <c r="I97" i="1"/>
  <c r="D160" i="1"/>
  <c r="D161" i="1" s="1"/>
  <c r="I24" i="1"/>
  <c r="F24" i="1"/>
  <c r="D170" i="1"/>
  <c r="D171" i="1"/>
  <c r="D143" i="1"/>
  <c r="I142" i="1"/>
  <c r="I141" i="1"/>
  <c r="I140" i="1"/>
  <c r="I139" i="1"/>
  <c r="I138" i="1"/>
  <c r="D138" i="1"/>
  <c r="I137" i="1"/>
  <c r="I136" i="1"/>
  <c r="I135" i="1"/>
  <c r="I134" i="1"/>
  <c r="I133" i="1"/>
  <c r="I132" i="1"/>
  <c r="I130" i="1"/>
  <c r="I129" i="1"/>
  <c r="I128" i="1"/>
  <c r="I127" i="1"/>
  <c r="I126" i="1"/>
  <c r="D126" i="1"/>
  <c r="I125" i="1"/>
  <c r="I124" i="1"/>
  <c r="I122" i="1"/>
  <c r="I120" i="1"/>
  <c r="D116" i="1"/>
  <c r="I112" i="1"/>
  <c r="D153" i="1"/>
  <c r="I143" i="1"/>
  <c r="I116" i="1"/>
  <c r="I114" i="1"/>
  <c r="I108" i="1"/>
  <c r="D105" i="1"/>
  <c r="I100" i="1"/>
  <c r="D100" i="1"/>
  <c r="D98" i="1"/>
  <c r="D91" i="1"/>
  <c r="D90" i="1" s="1"/>
  <c r="F90" i="1" s="1"/>
  <c r="D45" i="1"/>
  <c r="D47" i="1" s="1"/>
  <c r="D43" i="1"/>
  <c r="D44" i="1" s="1"/>
  <c r="I43" i="1"/>
  <c r="F49" i="1" l="1"/>
  <c r="I398" i="1"/>
  <c r="E90" i="1"/>
  <c r="I85" i="1" l="1"/>
  <c r="I75" i="1"/>
  <c r="I65" i="1"/>
  <c r="D96" i="1"/>
  <c r="I96" i="1"/>
  <c r="I55" i="1"/>
  <c r="D36" i="1"/>
  <c r="D34" i="1"/>
  <c r="D30" i="1"/>
  <c r="D31" i="1" s="1"/>
  <c r="I27" i="1"/>
  <c r="D22" i="1"/>
  <c r="D23" i="1" s="1"/>
  <c r="D20" i="1"/>
  <c r="D17" i="1"/>
  <c r="D13" i="1"/>
  <c r="D12" i="1"/>
  <c r="D146" i="1"/>
  <c r="D89" i="1"/>
  <c r="D88" i="1"/>
  <c r="D79" i="1"/>
  <c r="D78" i="1"/>
  <c r="D69" i="1"/>
  <c r="D68" i="1"/>
  <c r="D58" i="1"/>
  <c r="D59" i="1" s="1"/>
  <c r="I78" i="1"/>
  <c r="I68" i="1"/>
  <c r="I58" i="1"/>
  <c r="I79" i="1"/>
  <c r="I69" i="1"/>
  <c r="I59" i="1"/>
  <c r="E146" i="1" l="1"/>
  <c r="F146" i="1"/>
  <c r="D14" i="1"/>
  <c r="I95" i="1"/>
  <c r="I94" i="1"/>
  <c r="I93" i="1"/>
  <c r="I92" i="1"/>
  <c r="I47" i="1"/>
  <c r="I46" i="1"/>
  <c r="I45" i="1"/>
  <c r="I44" i="1"/>
  <c r="I42" i="1"/>
  <c r="I41" i="1"/>
  <c r="I91" i="1"/>
  <c r="I90" i="1" l="1"/>
  <c r="I12" i="1"/>
  <c r="I13" i="1"/>
  <c r="I14" i="1"/>
  <c r="I15" i="1"/>
  <c r="I19" i="1"/>
  <c r="I16" i="1"/>
  <c r="I17" i="1"/>
  <c r="I18" i="1"/>
  <c r="I21" i="1"/>
  <c r="I20" i="1"/>
  <c r="I22" i="1"/>
  <c r="I23" i="1"/>
  <c r="I26" i="1"/>
  <c r="I28" i="1"/>
  <c r="I29" i="1"/>
  <c r="I30" i="1"/>
  <c r="I31" i="1"/>
  <c r="I32" i="1"/>
  <c r="I33" i="1"/>
  <c r="I34" i="1"/>
  <c r="I35" i="1"/>
  <c r="I48" i="1"/>
  <c r="I36" i="1"/>
  <c r="I37" i="1"/>
  <c r="I38" i="1"/>
  <c r="I39" i="1"/>
  <c r="I99" i="1"/>
  <c r="I101" i="1"/>
  <c r="I102" i="1"/>
  <c r="I104" i="1"/>
  <c r="I103" i="1"/>
  <c r="I110" i="1"/>
  <c r="I117" i="1"/>
  <c r="I118" i="1"/>
  <c r="I145" i="1"/>
  <c r="I109" i="1"/>
  <c r="I111" i="1"/>
  <c r="I113" i="1"/>
  <c r="I115" i="1"/>
  <c r="I119" i="1"/>
  <c r="I123" i="1"/>
  <c r="I144" i="1"/>
  <c r="I105" i="1"/>
  <c r="I106" i="1"/>
  <c r="I50" i="1"/>
  <c r="I51" i="1"/>
  <c r="I52" i="1"/>
  <c r="I53" i="1"/>
  <c r="I54" i="1"/>
  <c r="I56" i="1"/>
  <c r="I57" i="1"/>
  <c r="I60" i="1"/>
  <c r="I61" i="1"/>
  <c r="I62" i="1"/>
  <c r="I63" i="1"/>
  <c r="I64" i="1"/>
  <c r="I66" i="1"/>
  <c r="I67" i="1"/>
  <c r="I70" i="1"/>
  <c r="I71" i="1"/>
  <c r="I72" i="1"/>
  <c r="I73" i="1"/>
  <c r="I74" i="1"/>
  <c r="I76" i="1"/>
  <c r="I77" i="1"/>
  <c r="I80" i="1"/>
  <c r="I81" i="1"/>
  <c r="I82" i="1"/>
  <c r="I83" i="1"/>
  <c r="I84" i="1"/>
  <c r="I86" i="1"/>
  <c r="I87" i="1"/>
  <c r="I88" i="1"/>
  <c r="I89" i="1"/>
  <c r="I159" i="1"/>
  <c r="I160" i="1"/>
  <c r="I161" i="1"/>
  <c r="I164" i="1"/>
  <c r="I167" i="1"/>
  <c r="I168" i="1"/>
  <c r="I169" i="1"/>
  <c r="I170" i="1"/>
  <c r="I171" i="1"/>
  <c r="I172" i="1"/>
  <c r="I173" i="1"/>
  <c r="I174" i="1"/>
  <c r="I219" i="1"/>
  <c r="I222" i="1"/>
  <c r="I220" i="1"/>
  <c r="I223" i="1"/>
  <c r="I221" i="1"/>
  <c r="I224" i="1"/>
  <c r="I225" i="1"/>
  <c r="I226" i="1"/>
  <c r="I227" i="1"/>
  <c r="I228" i="1"/>
  <c r="I229" i="1"/>
  <c r="I230" i="1"/>
  <c r="I231" i="1"/>
  <c r="I185" i="1"/>
  <c r="I186" i="1"/>
  <c r="I187" i="1"/>
  <c r="I188" i="1"/>
  <c r="I189" i="1"/>
  <c r="I191" i="1"/>
  <c r="I192" i="1"/>
  <c r="I194" i="1"/>
  <c r="I196" i="1"/>
  <c r="I197" i="1"/>
  <c r="I198" i="1"/>
  <c r="I199" i="1"/>
  <c r="I200" i="1"/>
  <c r="I202" i="1"/>
  <c r="I203" i="1"/>
  <c r="I205" i="1"/>
  <c r="I176" i="1"/>
  <c r="I177" i="1"/>
  <c r="I206" i="1"/>
  <c r="I207" i="1"/>
  <c r="I213" i="1"/>
  <c r="I214" i="1"/>
  <c r="I215" i="1"/>
  <c r="I216" i="1"/>
  <c r="I217" i="1"/>
  <c r="I209" i="1"/>
  <c r="I234" i="1"/>
  <c r="I235" i="1"/>
  <c r="I236" i="1"/>
  <c r="I251" i="1"/>
  <c r="I336" i="1"/>
  <c r="I331" i="1"/>
  <c r="I329" i="1"/>
  <c r="I332" i="1"/>
  <c r="I330" i="1"/>
  <c r="I333" i="1"/>
  <c r="I334" i="1"/>
  <c r="I335" i="1"/>
  <c r="I337" i="1"/>
  <c r="I338" i="1"/>
  <c r="I339" i="1"/>
  <c r="I340" i="1"/>
  <c r="I341" i="1"/>
  <c r="I342" i="1"/>
  <c r="I343" i="1"/>
  <c r="I254" i="1"/>
  <c r="I261" i="1"/>
  <c r="I255" i="1"/>
  <c r="I256" i="1"/>
  <c r="I257" i="1"/>
  <c r="I258" i="1"/>
  <c r="I264" i="1"/>
  <c r="I271" i="1"/>
  <c r="I265" i="1"/>
  <c r="I266" i="1"/>
  <c r="I267" i="1"/>
  <c r="I268" i="1"/>
  <c r="I274" i="1"/>
  <c r="I283" i="1"/>
  <c r="I281" i="1"/>
  <c r="I275" i="1"/>
  <c r="I276" i="1"/>
  <c r="I277" i="1"/>
  <c r="I286" i="1"/>
  <c r="I295" i="1"/>
  <c r="I293" i="1"/>
  <c r="I287" i="1"/>
  <c r="I288" i="1"/>
  <c r="I289" i="1"/>
  <c r="I298" i="1"/>
  <c r="I305" i="1"/>
  <c r="I299" i="1"/>
  <c r="I300" i="1"/>
  <c r="I301" i="1"/>
  <c r="I302" i="1"/>
  <c r="I308" i="1"/>
  <c r="I315" i="1"/>
  <c r="I309" i="1"/>
  <c r="I310" i="1"/>
  <c r="I311" i="1"/>
  <c r="I312" i="1"/>
  <c r="I318" i="1"/>
  <c r="I325" i="1"/>
  <c r="I319" i="1"/>
  <c r="I320" i="1"/>
  <c r="I321" i="1"/>
  <c r="I322" i="1"/>
  <c r="I353" i="1"/>
  <c r="I360" i="1"/>
  <c r="I354" i="1"/>
  <c r="I355" i="1"/>
  <c r="I356" i="1"/>
  <c r="I357" i="1"/>
  <c r="I362" i="1"/>
  <c r="I369" i="1"/>
  <c r="I363" i="1"/>
  <c r="I364" i="1"/>
  <c r="I365" i="1"/>
  <c r="I366" i="1"/>
  <c r="I371" i="1"/>
  <c r="I378" i="1"/>
  <c r="I372" i="1"/>
  <c r="I373" i="1"/>
  <c r="I374" i="1"/>
  <c r="I375" i="1"/>
  <c r="I380" i="1"/>
  <c r="I387" i="1"/>
  <c r="I381" i="1"/>
  <c r="I382" i="1"/>
  <c r="I383" i="1"/>
  <c r="I384" i="1"/>
  <c r="I389" i="1"/>
  <c r="I396" i="1"/>
  <c r="I390" i="1"/>
  <c r="I391" i="1"/>
  <c r="I146" i="1"/>
  <c r="E218" i="1"/>
  <c r="F252" i="1"/>
  <c r="F419" i="1"/>
  <c r="I237" i="1"/>
  <c r="I233" i="1"/>
  <c r="I10" i="1" l="1"/>
  <c r="I158" i="1"/>
  <c r="F158" i="1"/>
  <c r="I180" i="1"/>
  <c r="F180" i="1"/>
  <c r="E184" i="1"/>
  <c r="I162" i="1"/>
  <c r="F162" i="1"/>
  <c r="F218" i="1"/>
  <c r="F327" i="1"/>
  <c r="I252" i="1"/>
  <c r="I419" i="1"/>
  <c r="I184" i="1" l="1"/>
  <c r="F184" i="1"/>
  <c r="I218" i="1"/>
  <c r="I327" i="1"/>
  <c r="I232" i="1" s="1"/>
  <c r="D18" i="1"/>
  <c r="D15" i="1"/>
  <c r="I157" i="1" l="1"/>
  <c r="I9" i="1" s="1"/>
  <c r="D102" i="1" l="1"/>
  <c r="D101" i="1"/>
  <c r="D99" i="1"/>
</calcChain>
</file>

<file path=xl/sharedStrings.xml><?xml version="1.0" encoding="utf-8"?>
<sst xmlns="http://schemas.openxmlformats.org/spreadsheetml/2006/main" count="896" uniqueCount="303">
  <si>
    <t>м3</t>
  </si>
  <si>
    <t>№ п/п</t>
  </si>
  <si>
    <t>Наименование</t>
  </si>
  <si>
    <t>Ед. изм.</t>
  </si>
  <si>
    <t>Кол-во</t>
  </si>
  <si>
    <t>Примечание</t>
  </si>
  <si>
    <t>Стоимость материала всего,
руб. с НДС</t>
  </si>
  <si>
    <t>Стоимость работ всего,
руб. с НДС</t>
  </si>
  <si>
    <t>Стоимость Итого,
руб. с НДС</t>
  </si>
  <si>
    <t>Основание:</t>
  </si>
  <si>
    <t>м2</t>
  </si>
  <si>
    <r>
      <t xml:space="preserve">Цена материала
за ед.,
</t>
    </r>
    <r>
      <rPr>
        <b/>
        <i/>
        <sz val="9"/>
        <color theme="1"/>
        <rFont val="Times New Roman"/>
        <family val="1"/>
        <charset val="204"/>
      </rPr>
      <t>руб. с НДС</t>
    </r>
  </si>
  <si>
    <r>
      <t xml:space="preserve">Цена работ
за ед.,
</t>
    </r>
    <r>
      <rPr>
        <b/>
        <i/>
        <sz val="9"/>
        <color theme="1"/>
        <rFont val="Times New Roman"/>
        <family val="1"/>
        <charset val="204"/>
      </rPr>
      <t>руб. с НДС</t>
    </r>
  </si>
  <si>
    <t>1.</t>
  </si>
  <si>
    <t>1.1.</t>
  </si>
  <si>
    <t>1.2.</t>
  </si>
  <si>
    <t>1.3.</t>
  </si>
  <si>
    <t>2.</t>
  </si>
  <si>
    <t>3.</t>
  </si>
  <si>
    <t>3.1.</t>
  </si>
  <si>
    <t>3.2.</t>
  </si>
  <si>
    <t>Вынос инженерных сетей из пятна застройки</t>
  </si>
  <si>
    <t>тн</t>
  </si>
  <si>
    <t xml:space="preserve">Перевозка мусора на расстояние 7 км с утилизацией </t>
  </si>
  <si>
    <t>3.3.</t>
  </si>
  <si>
    <t>м</t>
  </si>
  <si>
    <t>Демонтаж асфальтобетонного покрытия мех способом V-167 м2, толщиной 0,06 м</t>
  </si>
  <si>
    <t>I.</t>
  </si>
  <si>
    <t>шт</t>
  </si>
  <si>
    <t>кг</t>
  </si>
  <si>
    <t>пм</t>
  </si>
  <si>
    <t>Гидравлическое испытание трубопровода</t>
  </si>
  <si>
    <t>Гидроизоляция колодцев обмазочная в 2 слоя</t>
  </si>
  <si>
    <t>Муфта защитная для прохода через ж/б колодец ПЭ 100 SDR11 Ду160 мм</t>
  </si>
  <si>
    <t>Муфта защитная для прохода через ж/б колодец ПЭ 100 SDR11 Дн560 мм</t>
  </si>
  <si>
    <t>Люк тип "Т" (С250) "Стилот" тяжелый</t>
  </si>
  <si>
    <t>Закрытый способ ННБ от кол. 1-кол. 2, труба ПЭ100 SDR11 315*28,6 -длина трубы 39,0 м в футляре ПЭ100  SDR11 560*50,8, длина футляра 37,0 м</t>
  </si>
  <si>
    <t xml:space="preserve">Закрытый способ ННБ от кол. 3-кол. 5, труба ПЭ100 SDR11 315*28,6 -длина трубы 56,0 м </t>
  </si>
  <si>
    <t xml:space="preserve">Труба ПЭ100 SDR11 315*28,6 </t>
  </si>
  <si>
    <t xml:space="preserve">Прокладка труб водостока закрытым способом ННБ (наклонно-направленное бурение) </t>
  </si>
  <si>
    <t>Погрузка асфальтобетона и мусора в автосамосвалы  (вес 1м3-1,9 тн)</t>
  </si>
  <si>
    <t xml:space="preserve">Труба стальная б/у Д219 мм </t>
  </si>
  <si>
    <t xml:space="preserve">Уголок 50*5 мм </t>
  </si>
  <si>
    <t>Доска обрезная, сорт 2 толщ 0,04 м</t>
  </si>
  <si>
    <t>4.</t>
  </si>
  <si>
    <t>Рабочая часть КС 15.6 (1шт)</t>
  </si>
  <si>
    <t xml:space="preserve">Люк тип "Л" </t>
  </si>
  <si>
    <t xml:space="preserve">Закрытый способ ННБ от кол. 2-кол. 3, труба ПЭ100 SDR11 315*28,6 -длина трубы 5,0 м </t>
  </si>
  <si>
    <t>III.</t>
  </si>
  <si>
    <t>II.</t>
  </si>
  <si>
    <t>Демонтажные работы (под ННБ и устройство колодцев)</t>
  </si>
  <si>
    <t>Уголок 50*5 мм</t>
  </si>
  <si>
    <t>Доска обрезная толщ 40 мм, сорт 2</t>
  </si>
  <si>
    <t>Устройство колодцев Д1500 мм</t>
  </si>
  <si>
    <t>Днище ПН 15  (3 шт)</t>
  </si>
  <si>
    <t>Рабочая часть КС 15.9 (6 шт)</t>
  </si>
  <si>
    <t>Плита перекрытия 1ПП15-1 (3 шт)</t>
  </si>
  <si>
    <t>Горловина КО6 (3 шт)</t>
  </si>
  <si>
    <t>Люк тип "Т" (С250) "Стилот"</t>
  </si>
  <si>
    <t>Втулка под фланец ПЭ100 SDR17 Д160 мм</t>
  </si>
  <si>
    <t>Муфта защитная для прохода через ж/б колодец труб ПЭ  Д160 мм</t>
  </si>
  <si>
    <t>Задвижка чугуная короткая с обрезиненным клином Ду150 мм</t>
  </si>
  <si>
    <t>Подставка пожарная тройник  фланцевый чугунный ППТФ Д150 мм</t>
  </si>
  <si>
    <t>Заглушка Д150 мм</t>
  </si>
  <si>
    <t>Пожарный гидрант Д125 мм, высотой-1250 мм чугунный</t>
  </si>
  <si>
    <t>Фланец накидной Д160 мм</t>
  </si>
  <si>
    <t>Тройник ПЭ100 SDR17 160х160 мм</t>
  </si>
  <si>
    <t>Муфта соединение ПЭ/чуг. ПФРК Ду150 мм</t>
  </si>
  <si>
    <t>Труба ПЭ 100 SDR 17- Д160*9,5 мм (L-48 пм)</t>
  </si>
  <si>
    <t>Труба ПЭ 100 SDR 17- Д160*9,5 мм (L-36 пм)</t>
  </si>
  <si>
    <t>Труба ПЭ 100 SDR 17- Д160*9,5 мм (L-32 пм)</t>
  </si>
  <si>
    <t>Труба ПЭ100 SDR11 Д160*9,5 мм</t>
  </si>
  <si>
    <t>Прокладка труб методом ННБ от УП3-В2</t>
  </si>
  <si>
    <t>Прокладка труб методом ННБ от УП5-УП6</t>
  </si>
  <si>
    <t>Прокладка труб открытым способом от В1/ПГ1-УП2 (1м), В2-УП4 (4.0 м)</t>
  </si>
  <si>
    <t>6.</t>
  </si>
  <si>
    <t>Прокладка труб методом ННБ от УП6 - В3/ПГ2</t>
  </si>
  <si>
    <t>Труба ПЭ SDR11 Д250*22,7 мм</t>
  </si>
  <si>
    <t>Муфта электросварная ПЭ 100 SDR11 Дн250 мм (сварка труб по 12,0 м)</t>
  </si>
  <si>
    <t>Муфта электросварная ПЭ 100  SDR11 Дн560 мм (сварка труб по 12,0 м)</t>
  </si>
  <si>
    <t>Днище ПН 15  (9 шт)</t>
  </si>
  <si>
    <t>Рабочая часть КС 15.9 (23 шт)</t>
  </si>
  <si>
    <t>Плита перекрытия 1ПП15-1 (9 шт)</t>
  </si>
  <si>
    <t>Горловина КС 7-3 (7 шт)</t>
  </si>
  <si>
    <t>Горловина КО6 (9 шт)</t>
  </si>
  <si>
    <t>Прокладка труб канализации закрытым способом ННБ (наклонно-направленное бурение)</t>
  </si>
  <si>
    <t>Труба напорная полиэтиленовая SDR11, Дн-560*50,8 мм</t>
  </si>
  <si>
    <t>Труба напорная полиэтиленовая  ПЭ100 SDR11, Дн250 *22,7 мм</t>
  </si>
  <si>
    <t xml:space="preserve">Прокладка трубопроводов открытым способом (от кол 1-кол. 2, от кол 7- кол. 8, от кол.9-кол. 5) </t>
  </si>
  <si>
    <t>Труба ПЭ SDR11 Д160*14,6 мм</t>
  </si>
  <si>
    <t>Закрытый способ ННБ от кол. 5-до кол 6"сущ", труба ПЭ100 SDR11 315*28,6 -длина тр. 18,0 м</t>
  </si>
  <si>
    <t>Труба Д219 мм (3,7м*8)</t>
  </si>
  <si>
    <t>на выполнение работ: вынос инженерных сетей из пятна застройки. Наружные сети водопровода, хоз-бытовой канализации и  ливневой канализации.</t>
  </si>
  <si>
    <t>Демонтаж водопроводных колодцев ж/б Д1500 мм, глубина 2м -3 шт</t>
  </si>
  <si>
    <t>Установка полиэтиленовых фасонных частей: отводов, колен, патрубков, переходов</t>
  </si>
  <si>
    <t>Муфта полиэтиленовая электросварная, ПЭ100, SDR11, диаметр 160 мм</t>
  </si>
  <si>
    <t>Устройство подстилающих слоев из песка</t>
  </si>
  <si>
    <t>Песок природный для строительных работ II класс, средний</t>
  </si>
  <si>
    <t>Устройство подстилающих слоев из  ЩПГС</t>
  </si>
  <si>
    <t>Смесь щебеночно-песчаная готовая, щебень из гравия М 800, номер смеси С4, размер зерен 0-80 мм</t>
  </si>
  <si>
    <t>Устройство покрытия дорожек и тротуаров из горячих асфальтобетонных смесей асфальтоукладчиками первого типоразмера, толщина слоя 6 см</t>
  </si>
  <si>
    <t>Эмульсия битумно-дорожная</t>
  </si>
  <si>
    <t>т</t>
  </si>
  <si>
    <t>Смеси асфальтобетонные пористые крупнозернистые, марка I</t>
  </si>
  <si>
    <t>Устройство покрытия дорожек и тротуаров из горячих асфальтобетонных смесей асфальтоукладчиками первого типоразмера, толщина слоя 4 см</t>
  </si>
  <si>
    <t>Смеси асфальтобетонные плотные мелкозернистые, тип Б, марка II</t>
  </si>
  <si>
    <t>Восстановление покрытия из асфальтобетона</t>
  </si>
  <si>
    <t>5.</t>
  </si>
  <si>
    <t>Разборка асфальтового покрытия дорог толщиной 0,06 м без восстановления (6,25 м2х3 шт)</t>
  </si>
  <si>
    <t>4.1.</t>
  </si>
  <si>
    <t>компл.</t>
  </si>
  <si>
    <t>шт.</t>
  </si>
  <si>
    <t>Земляные работы под наружную хозяйственно-бытовую канализацию К1</t>
  </si>
  <si>
    <t>Демонтаж асфальтобетона под наружную хозяйственно-бытовую канализацию К1</t>
  </si>
  <si>
    <t>п.м.</t>
  </si>
  <si>
    <t>Демонтаж наружной ливневой канализации К2</t>
  </si>
  <si>
    <t>Демонтаж наружной хоз-бытовой канализации К1</t>
  </si>
  <si>
    <t>Вынос наружного водопровода ВЧШГ Д150 мм В1</t>
  </si>
  <si>
    <t>Демонтаж труб канализации</t>
  </si>
  <si>
    <t>Демонтаж чугунных труб Д150 мм</t>
  </si>
  <si>
    <t>Объект: «Семейный физкультурно-оздоровительный комплекс «Термолэнд-Дельфин»
по адресу: г. Смоленск, ул. Кутузова, д. 2Г</t>
  </si>
  <si>
    <t>Труба ПЭ 100 SDR 17- Д160*9,5 мм (L-11 пм)</t>
  </si>
  <si>
    <t>Начальная максимальная цена контракта (НМЦК)</t>
  </si>
  <si>
    <t>Прокладка труб открытым способом</t>
  </si>
  <si>
    <t>Демонтаж асфальтобетонного покрытия механизированным способом, толщиной 0,06 м</t>
  </si>
  <si>
    <t>(0,24*2+0,27*1+0,38*1)*2</t>
  </si>
  <si>
    <t>Погрузка экскаватором ж/б лома в автосамосвалы (вес 1м3-2,4 тн)</t>
  </si>
  <si>
    <t>Погрузка экскаватором асфальтобетонного лома в автосамосвалы (вес 1м3-1,9 тн)</t>
  </si>
  <si>
    <t xml:space="preserve">Перевозка асфальтобетонного лома на расстояние 7 км с размещением на полигоне и утилизацией </t>
  </si>
  <si>
    <t xml:space="preserve">Перевозка ж/б лома на расст 34 км с размещением на полигоне и утилизацией </t>
  </si>
  <si>
    <t>Разборка трубопроводов водоснабжения из чугунных труб диаметром 150 мм</t>
  </si>
  <si>
    <t>Демонтаж задвижек Ду150 мм (58,0 кг/шт)</t>
  </si>
  <si>
    <t>Демонтаж тройника чугунного 150х 150 мм (61,6 кг), 1 шт.</t>
  </si>
  <si>
    <t>Погрузка экскаватором металлического лома в автосамосвалы (вес 1пм чуг трубы-34,7 кг/мп)</t>
  </si>
  <si>
    <t xml:space="preserve">Снятие плодородного слоя грунта бульдозером 59 кВт с перемещением на 10 м, группа грунта 2 </t>
  </si>
  <si>
    <t xml:space="preserve">Восстановление плодородного слоя грунта бульдозером 59 кВт с перемещением на 10 м, группа грунта 2 </t>
  </si>
  <si>
    <t xml:space="preserve">Разработка грунта под колодцы экскаватором с ковшом 0,5 м3 с погрузкой в автосамосвал, группа грунта 2 </t>
  </si>
  <si>
    <t>Доработка грунта котлованов под колодцы вручную с выкидкой грунта, группа грунта 2</t>
  </si>
  <si>
    <t>Погрузка лишнего грунта в автосамосвалы, группа грунта 2</t>
  </si>
  <si>
    <t>Перевозка грунта на расстояние до 10 км с размещением на полигоне и утилизацией</t>
  </si>
  <si>
    <t>Обратная засыпка песком вокруг колодцев бульдозерами 59 кВт с перемещением на 10 м, группа грунта 1</t>
  </si>
  <si>
    <t>Обратная засыпка песком вокруг колодцев вручную</t>
  </si>
  <si>
    <t>Песок строительный средний</t>
  </si>
  <si>
    <t>Планировка территории механизированным способом, группа грунта 2</t>
  </si>
  <si>
    <t xml:space="preserve">Устройство шпунтового ограждения котлованов под колодцы из стальных электросварных труб Д219*4 мм вдавливанием труб на глубину 0,7 м, с приваркой уголка 50*5 мм и креплением доски обрезной хвойных пород толщиной 40 мм сорт 2, группа грунта 2 </t>
  </si>
  <si>
    <t>Разработка грунта в отвал экскаватором с ковшом 0,25 м3, группа грунта 2</t>
  </si>
  <si>
    <t>Обратная засыпка грунта бульдозерами 59 кВт с перемещением на 5 м, группа грунта 2</t>
  </si>
  <si>
    <t>Прокладка труб методом ННБ от угла поворота УП2 до угла поворота УП3</t>
  </si>
  <si>
    <t>Гидравлическое испытание трубопровода диаметром 160 мм</t>
  </si>
  <si>
    <t>Промывка с дезинфекцией трубопровода диаметром 160 мм</t>
  </si>
  <si>
    <t>Прокладка трубы, в т.ч. гидравлическое испытание трубопровода</t>
  </si>
  <si>
    <t>Прокладка труб ННБ</t>
  </si>
  <si>
    <t>под колодцы</t>
  </si>
  <si>
    <t>котлованы под колодцы</t>
  </si>
  <si>
    <t>траншеи под трубы открытым способом</t>
  </si>
  <si>
    <t>Доработка грунта под траншею вручную, группа грунта 2</t>
  </si>
  <si>
    <t>Вывоз грунта автосамосвалами на 10 км на полигон для размещения и утилизации</t>
  </si>
  <si>
    <t>Обратная засыпка грунта бульдозерами 59 кВт с перемещением на 10 м, группа грунта 2</t>
  </si>
  <si>
    <t>Засыпка грунта вручную с уплотнением, группа грунта 1</t>
  </si>
  <si>
    <t>Уплотнение грунта пневматическими трамбовками, группа грунта 2</t>
  </si>
  <si>
    <t>Погрузка лишнего грунта экскаватором "обратная лопата" с ковшом 0,5 м3 в автосамосвал, группа грунта 2</t>
  </si>
  <si>
    <t>Стремянка С2( дл-2 м) (3 шт)</t>
  </si>
  <si>
    <t>Устройство круглых железобетонных колодцев</t>
  </si>
  <si>
    <t>Матика битумная для подземных конструкций холодная (расход 1 кг/м2)</t>
  </si>
  <si>
    <t>Установка чугунных задвижек в колодцах</t>
  </si>
  <si>
    <t>Установка фасонных чугунных частей в колодцах</t>
  </si>
  <si>
    <t>Установка гидрантов пожарных</t>
  </si>
  <si>
    <t>Запорная арматура и фасонные части Колодец В1/ПГ1</t>
  </si>
  <si>
    <t>Муфта соединительная электросварная ПЭ100 SDR17 Д160 мм</t>
  </si>
  <si>
    <t>Запорная арматура и фасонные части Колодец В2</t>
  </si>
  <si>
    <t>Установка полиэтиленовых фасонных тройников</t>
  </si>
  <si>
    <t>Запорная арматура и фасонные части Колодец В3/ПГ2</t>
  </si>
  <si>
    <t>2.5</t>
  </si>
  <si>
    <t>2.8.</t>
  </si>
  <si>
    <t>Муфта защитная для прохода через ж/б колодец ПЭ 100 SDR11 Ду315 мм</t>
  </si>
  <si>
    <t>Муфта защитная для прохода через ж/б колодец ПЭ 100 SDR11 Дн630 мм</t>
  </si>
  <si>
    <t>Муфта полиэтиленовая электросварная, ПЭ100, SDR11, диаметр 315 мм</t>
  </si>
  <si>
    <t>Муфта полиэтиленовая электросварная, ПЭ100, SDR11, диаметр 560 мм</t>
  </si>
  <si>
    <t>Муфта полиэтиленовая электросварная, ПЭ100, SDR11, диаметр 630 мм</t>
  </si>
  <si>
    <t>Закрытый способ ГНБ от кол. ДК1-кол. 1, труба ПЭ100 SDR11 315*28,6 -длина трубы 20,0 м</t>
  </si>
  <si>
    <t>Закрытый способ ГНБ от кол. ДК2-кол. 1, труба ПЭ100 SDR11 315*28,6 -длина трубы 8,0 м</t>
  </si>
  <si>
    <t>Труба ПЭ100 SDR11 560*50,8 (футляр)</t>
  </si>
  <si>
    <t>Закрытый способ ННБ от кол. ДК3-кол. 5, труба ПЭ100 SDR11 315*28,6 -длина трубы 5,0 м</t>
  </si>
  <si>
    <t>Труба ПЭ100 SDR11 630*57,2 мм</t>
  </si>
  <si>
    <t>Закрытый способ ННБ от кол. 10-кол. 11, труба ПЭ100 SDR11 630*57,2 -длина трубы 29,0</t>
  </si>
  <si>
    <t xml:space="preserve">Закрытый способ ННБ от кол. 11-кол. 12, труба ПЭ100 SDR11 630*57,2-длина трубы 54,0 </t>
  </si>
  <si>
    <t xml:space="preserve">Закрытый способ ННБ от кол. 12-кол. 13, труба ПЭ100 SDR11 630*57,2 -длина трубы  18,00 м </t>
  </si>
  <si>
    <t>Закрытый способ ННБ от кол. 13-кол. 6 сущ, труба ПЭ100 SDR11 630*57,2-длина трубы 12,0</t>
  </si>
  <si>
    <t>5.2.</t>
  </si>
  <si>
    <t>Труба ПЭ100 SDR11 315*28,7 мм</t>
  </si>
  <si>
    <t>Снятие и восстановление плодородного слоя грунта 125 м2*0,15м</t>
  </si>
  <si>
    <t>под трубы</t>
  </si>
  <si>
    <t>Разработка грунта под траншею экскаватором "обратная лопата" с ковшом 0,5 м3 в отвал, группа грунта 2</t>
  </si>
  <si>
    <t>Уплотнение грунта пневматическими трамбовками, группа грунта 1</t>
  </si>
  <si>
    <t>Обратная засыпка песком вокруг колодцев вручную с уплотнением</t>
  </si>
  <si>
    <t>Погрузка экскаватором металлического лома в автосамосвалы (вес 1пм чуг трубы-24,3 кг/мп)</t>
  </si>
  <si>
    <t>Перевозка металлического лома автосамосвалами на расстояние 7км</t>
  </si>
  <si>
    <t>Уплотнение грунта пневмотрамбовками, группа грунта 2</t>
  </si>
  <si>
    <t>Уплотнение грунта пневмотрамбовками, группа грунта 1</t>
  </si>
  <si>
    <t>Труба напорная полиэтиленовая ПЭ100 SDR11, Дн250 *22,7 мм</t>
  </si>
  <si>
    <t>Протаскивание в футляр полиэтиленовых труб ПЭ100 SDR11, Дн250 *22,7 мм</t>
  </si>
  <si>
    <t>Гидравлическое испытание трубопровода Дн250</t>
  </si>
  <si>
    <t xml:space="preserve">Закрытый способ ННБ от кол. К2-К4, труба ПЭ100 SDR11 250*22,7 -длина трассы 54 м, в футляре ПЭ100 SDR11 560*50,8 -длина футляра 54,0 м </t>
  </si>
  <si>
    <t>4.2.</t>
  </si>
  <si>
    <t>Закрытый способ ННБ от колодца К4 до колодца К7  Труба ПЭ100 SDR11 250х22,7 длина трассы 61,0 м «питьевая» в футляре  ПЭ100 SDR11 560х50,8 длина футляра 61,0 м.</t>
  </si>
  <si>
    <t>Монтаж установки ННБ</t>
  </si>
  <si>
    <t>Демонтаж установки ННБ</t>
  </si>
  <si>
    <t>Устройство закрытого подземного перехода способом ННБ для трубы ПЭ100 SDR17 160х9,5 48,0 м «питьевая», длина прокола 46,0 м, группа грунта 2</t>
  </si>
  <si>
    <t>Устройство закрытого подземного перехода способом ННБ для трубы ПЭ100 SDR17 160х9,5 36,0 м «питьевая», длина прокола 34,0 м, группа грунта 2</t>
  </si>
  <si>
    <t>Устройство закрытого подземного перехода способом ННБ для трубы ПЭ100 SDR17 160х9,5 32,0 м «питьевая», длина прокола 30,0 м, группа грунта 2</t>
  </si>
  <si>
    <t>Устройство закрытого подземного перехода способом ННБ для трубы ПЭ100 SDR17 160х9,5 13,0 м «питьевая», длина прокола 11,0 м, группа грунта 2</t>
  </si>
  <si>
    <t>Устройство закрытого подземного перехода способом ННБ для трубы SDR11, Дн-560*50,8 мм 56,0 м, длина прокола 54,0 м, группа грунта 2</t>
  </si>
  <si>
    <t>Устройство закрытого подземного перехода способом ННБ для трубы ПЭ100 SDR11 Дн250 *22,7 мм 63,0 м, длина прокола 61,0 м, группа грунта 2</t>
  </si>
  <si>
    <t>Укладка трубопроводов канализации ПЭ SDR11 Д250*22,7 мм с гидравлическим испытанием</t>
  </si>
  <si>
    <t>Укладка трубопроводов канализации ПЭ SDR11  Д160*14,6 мм с гидравлическим испытанием</t>
  </si>
  <si>
    <t>Труба ПЭ SDR11 Д560*50,8 мм (футляр 2м)</t>
  </si>
  <si>
    <t>Установка полиэтиленовых фасонных частей</t>
  </si>
  <si>
    <t>Укладка полиэтиленового футляра Д560</t>
  </si>
  <si>
    <t>Протаскивание в футляр ПЭ SDR11 Д250*22,7 мм</t>
  </si>
  <si>
    <t>Устройство круглых колодцев ж/б канализационных диаметром 1500 мм</t>
  </si>
  <si>
    <t>Стремянка тип С2( дл-2,0 м), 2 шт.</t>
  </si>
  <si>
    <t>Стремянка тип С3( дл-3,0 м), 7 шт.</t>
  </si>
  <si>
    <t>От колодца ДК1 до колодца 1,   Труба ПЭ100 SDR11 315х28,6 длина трубы 20,0 м</t>
  </si>
  <si>
    <t>От колодца ДК2 до колодца 1  Труба ПЭ100 SDR11 315х28,6 длина трубы 8,0 м</t>
  </si>
  <si>
    <t>От колодца 1 до колодца 2  Труба ПЭ100 SDR11 315х28,6 длина трубы 39,0 м в футляре ПЭ100 SDR11 560х50,8 длина футляра 37,0 м.</t>
  </si>
  <si>
    <t>От колодца 2 до колодца 3  Труба ПЭ100 SDR11 315х28,6 длина трубы 7,0 м в футляре ПЭ100 SDR11 560х50,8 длина футляра 5,0 м.</t>
  </si>
  <si>
    <t>От колодца 3 до колодца 5  Труба ПЭ100 SDR11 315х28,6 длина трубы 56,0 м</t>
  </si>
  <si>
    <t>От колодца ДК3 до колодца 5  Труба ПЭ100 SDR11 315х28,6 длина трубы 5,0 м</t>
  </si>
  <si>
    <t>От колодца 5 до существующего колодца "Сущ."  Труба ПЭ100 SDR11 315х28,6 длина трубы 18,0 м</t>
  </si>
  <si>
    <t>Колодцы. Канализация ливневая К2 Участок от 7 до 6Сущ.</t>
  </si>
  <si>
    <t>Устройство колодцев ж/б ливневых колодцев (смотровых) диаметром 1500 мм (5шт). Устройство дождеприемных колодцев h- 1530 мм (ДК1-ДК3), диаметром 1500 мм (3шт)</t>
  </si>
  <si>
    <t>Рабочая часть КС 15.9 (28шт)</t>
  </si>
  <si>
    <t>Горловина КС 7-3 (4шт)</t>
  </si>
  <si>
    <t>Днище ПН 15 (8 шт)</t>
  </si>
  <si>
    <t>Плита перекрытия 1ПП15-1 (8 шт)</t>
  </si>
  <si>
    <t>Горловина КО6 (12 шт)</t>
  </si>
  <si>
    <t>Рабочая часть КС 15.9 (16шт)</t>
  </si>
  <si>
    <t>Горловина КС 7-3 (8шт)</t>
  </si>
  <si>
    <t>Горловина КО6 (8 шт)</t>
  </si>
  <si>
    <t>Люк круглый дождеприемник ДК-1 (В125)</t>
  </si>
  <si>
    <t>Лоток  из ж/бетона (8шт) 0,55 м3*8</t>
  </si>
  <si>
    <t>Стремянка тип С1( дл-1,5 м), 3 шт.</t>
  </si>
  <si>
    <t>Стремянка тип С2( дл-2 м), 2 шт.</t>
  </si>
  <si>
    <t>Стремянка тип С3( дл-3,0 м), 3 шт.</t>
  </si>
  <si>
    <t>Открытая прокладка трубопровода. Канализация ливневая К2 Участок от 7 до 6 Сущ.</t>
  </si>
  <si>
    <t>Гидравлическое испытание трубопровода диаметром 630 мм</t>
  </si>
  <si>
    <t>Закрытый способ ННБ от кол. 8-кол. 9, труба ПЭ100 SDR11 630*57,2 -длина трубы 35,5 м</t>
  </si>
  <si>
    <t>Устройство колодцев ж/б ливневых колодцев (смотровых) диаметром 1500 мм (7шт). Устройство дождеприемных колодцев h- 1530 мм (ДК4), диаметром 1500 мм (1шт)</t>
  </si>
  <si>
    <t>Лоток из ж/бетона (16шт) 0,55*8</t>
  </si>
  <si>
    <t>Стремянка тип С7 (дл-3,3м), 2 шт.</t>
  </si>
  <si>
    <t>Стремянка тип С4( дл-2,6м), 2 шт.</t>
  </si>
  <si>
    <t>Стремянка тип С10 (дл-3,8м), 1 шт.</t>
  </si>
  <si>
    <t>Стремянка тип С12 (дл-5,2м), 3 шт.</t>
  </si>
  <si>
    <t>Открытая прокладка труб от кол. 9-кол. до кл. 10 Д630*57,2 мм,  от кол. 7 до кол. 8 Д630*57,2 мм с гидравлическими испытаниями</t>
  </si>
  <si>
    <t>3.4.</t>
  </si>
  <si>
    <t>5.1.</t>
  </si>
  <si>
    <t>3.5.</t>
  </si>
  <si>
    <t>3.6.</t>
  </si>
  <si>
    <t>3.7.</t>
  </si>
  <si>
    <t>6.1.</t>
  </si>
  <si>
    <t>6.2.</t>
  </si>
  <si>
    <t>6.3.</t>
  </si>
  <si>
    <t>6.4.</t>
  </si>
  <si>
    <t>6.5.</t>
  </si>
  <si>
    <t>7.</t>
  </si>
  <si>
    <t>8.</t>
  </si>
  <si>
    <t>7.1.</t>
  </si>
  <si>
    <t>7.2.</t>
  </si>
  <si>
    <t>8.1.</t>
  </si>
  <si>
    <t>8.2</t>
  </si>
  <si>
    <t>8.3.</t>
  </si>
  <si>
    <t>8.4.</t>
  </si>
  <si>
    <t>мп</t>
  </si>
  <si>
    <t>2.1</t>
  </si>
  <si>
    <t>под колодцы и трубы</t>
  </si>
  <si>
    <t>2.2</t>
  </si>
  <si>
    <t>2.3</t>
  </si>
  <si>
    <t>Разработка грунта под колодцы экскаватором с ковшом 0,5 м3 с погрузкой в автосамосвал, группа грунта 2 открытым способом</t>
  </si>
  <si>
    <t>2.4</t>
  </si>
  <si>
    <t>2.7</t>
  </si>
  <si>
    <t>2.8</t>
  </si>
  <si>
    <t>2.9</t>
  </si>
  <si>
    <t>Уплотнение грунта пневматическими трамбовками группа 1</t>
  </si>
  <si>
    <t>Устройство закрытого подземного перехода способом ННБ для трубы  ПЭ100 SDR11 315*28,6 «питьевая», длина прокола 18,0 м, группа грунта 2</t>
  </si>
  <si>
    <t>Гидравлическое испытание трубопровода диаметром 400 мм</t>
  </si>
  <si>
    <t>Гидравлическое испытание трубопровода диаметром до 400 мм</t>
  </si>
  <si>
    <t>Устройство закрытого подземного перехода способом ННБ для трубы  ПЭ100 SDR11 315*28,6 «питьевая», длина прокола 8,0 м, группа грунта 2</t>
  </si>
  <si>
    <t>Устройство закрытого подземного перехода способом ННБ для трубы  ПЭ100 SDR11 560*50,8 (футляр) , длина футляра 37,0 м, группа грунта 2</t>
  </si>
  <si>
    <t xml:space="preserve">Протаскивание в футляр ПЭ100 SDR11 315*28,6 </t>
  </si>
  <si>
    <t>Устройство закрытого подземного перехода способом ННБ для трубы  ПЭ100 SDR11 560*50,8 (футляр) , длина футляра 5,0 м, группа грунта 2</t>
  </si>
  <si>
    <t>Устройство закрытого подземного перехода способом ННБ для трубы  ПЭ100 SDR11 315*28,6 «питьевая», длина прокола 54,0 м, группа грунта 2</t>
  </si>
  <si>
    <t>Устройство закрытого подземного перехода способом ННБ для трубы  ПЭ100 SDR11 315*28,6 «питьевая», длина прокола 3,0 м, группа грунта 2</t>
  </si>
  <si>
    <t>Устройство закрытого подземного перехода способом ННБ для трубы  ПЭ100 SDR11 315*28,6 «питьевая», длина прокола 16,0 м, группа грунта 2</t>
  </si>
  <si>
    <t>Устройство закрытого подземного перехода способом ННБ для трубы  ПЭ100 SDR11 630*57,2 «питьевая», длина прокола 33,0 м, группа грунта 2</t>
  </si>
  <si>
    <t>Устройство закрытого подземного перехода способом ННБ для трубы  ПЭ100 SDR11 630*57,2 «питьевая», длина прокола 29,0 м, группа грунта 2</t>
  </si>
  <si>
    <t>Устройство закрытого подземного перехода способом ННБ для трубы  ПЭ100 SDR11 630*57,2 «питьевая», длина прокола 52,0 м, группа грунта 2</t>
  </si>
  <si>
    <t>Устройство закрытого подземного перехода способом ННБ для трубы  ПЭ100 SDR11 630*57,2 «питьевая», длина прокола 16,0 м, группа грунта 2</t>
  </si>
  <si>
    <t>Устройство закрытого подземного перехода способом ННБ для трубы  ПЭ100 SDR11 630*57,2 «питьевая», длина прокола 10,0 м, группа грунта 2</t>
  </si>
  <si>
    <t>Открытая прокладка труб от кол. 8 до кол. ДК4 - Д315*28,7 мм с гидравлическими испытаниями</t>
  </si>
  <si>
    <t>Прокладка труб методом ННБ. Канализация ливневая К2 Участок от 7 до 6 Сущ.</t>
  </si>
  <si>
    <t>Земляные работы под котлованы колодцев и трубы открытой прокладки</t>
  </si>
  <si>
    <t>Демонтаж асфальтобетона под ливневую канализацию К2</t>
  </si>
  <si>
    <t>Устройство колодцев К2 Участок от ДК1 до 6 Сущ.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</si>
</sst>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0.000"/>
    <numFmt numFmtId="166" formatCode="0.0"/>
    <numFmt numFmtId="167" formatCode="#,##0.000"/>
    <numFmt numFmtId="168" formatCode="_-* #,##0.00\ _₽_-;\-* #,##0.00\ _₽_-;_-* &quot;-&quot;??\ _₽_-;_-@_-"/>
    <numFmt numFmtId="169" formatCode="#,##0.0000"/>
    <numFmt numFmtId="170" formatCode="0.000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5" fillId="0" borderId="0"/>
    <xf numFmtId="0" fontId="18" fillId="5" borderId="2">
      <alignment horizontal="left" vertical="center" wrapText="1"/>
    </xf>
    <xf numFmtId="0" fontId="18" fillId="0" borderId="2">
      <alignment horizontal="center" vertical="center" wrapText="1"/>
    </xf>
    <xf numFmtId="43" fontId="15" fillId="0" borderId="0" applyFont="0" applyFill="0" applyBorder="0" applyAlignment="0" applyProtection="0"/>
  </cellStyleXfs>
  <cellXfs count="248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wrapText="1"/>
    </xf>
    <xf numFmtId="164" fontId="1" fillId="4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2" xfId="0" applyFont="1" applyBorder="1" applyAlignment="1">
      <alignment horizontal="left" wrapText="1"/>
    </xf>
    <xf numFmtId="167" fontId="1" fillId="0" borderId="1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6" fillId="5" borderId="2" xfId="3" applyFo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" fontId="6" fillId="0" borderId="1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" fontId="6" fillId="4" borderId="1" xfId="0" applyNumberFormat="1" applyFont="1" applyFill="1" applyBorder="1" applyAlignment="1">
      <alignment horizontal="center" vertical="center"/>
    </xf>
    <xf numFmtId="0" fontId="6" fillId="0" borderId="2" xfId="4" applyFo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/>
    </xf>
    <xf numFmtId="0" fontId="18" fillId="4" borderId="2" xfId="4" applyFill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2" fontId="6" fillId="0" borderId="2" xfId="4" applyNumberFormat="1" applyFo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7" fillId="5" borderId="2" xfId="3" applyFont="1">
      <alignment horizontal="left" vertical="center" wrapText="1"/>
    </xf>
    <xf numFmtId="0" fontId="7" fillId="0" borderId="2" xfId="4" applyFont="1">
      <alignment horizontal="center" vertical="center" wrapText="1"/>
    </xf>
    <xf numFmtId="2" fontId="7" fillId="0" borderId="2" xfId="4" applyNumberFormat="1" applyFo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8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5" borderId="6" xfId="3" applyFont="1" applyBorder="1">
      <alignment horizontal="left" vertical="center" wrapText="1"/>
    </xf>
    <xf numFmtId="0" fontId="6" fillId="0" borderId="5" xfId="4" applyFont="1" applyBorder="1">
      <alignment horizontal="center" vertical="center" wrapText="1"/>
    </xf>
    <xf numFmtId="2" fontId="6" fillId="0" borderId="5" xfId="4" applyNumberFormat="1" applyFont="1" applyBorder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166" fontId="6" fillId="0" borderId="2" xfId="4" applyNumberFormat="1" applyFo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3" fontId="8" fillId="4" borderId="1" xfId="5" applyFont="1" applyFill="1" applyBorder="1" applyAlignment="1">
      <alignment vertical="center"/>
    </xf>
    <xf numFmtId="43" fontId="12" fillId="0" borderId="1" xfId="5" applyFont="1" applyBorder="1" applyAlignment="1">
      <alignment vertical="center"/>
    </xf>
    <xf numFmtId="43" fontId="8" fillId="4" borderId="1" xfId="5" applyFont="1" applyFill="1" applyBorder="1" applyAlignment="1">
      <alignment horizontal="center" vertical="center"/>
    </xf>
    <xf numFmtId="43" fontId="8" fillId="0" borderId="1" xfId="5" applyFont="1" applyBorder="1" applyAlignment="1">
      <alignment vertical="center"/>
    </xf>
    <xf numFmtId="43" fontId="18" fillId="5" borderId="5" xfId="5" applyFont="1" applyFill="1" applyBorder="1" applyAlignment="1">
      <alignment horizontal="left" vertical="center" wrapText="1"/>
    </xf>
    <xf numFmtId="43" fontId="18" fillId="5" borderId="6" xfId="5" applyFont="1" applyFill="1" applyBorder="1" applyAlignment="1">
      <alignment horizontal="left" vertical="center" wrapText="1"/>
    </xf>
    <xf numFmtId="43" fontId="18" fillId="5" borderId="1" xfId="5" applyFont="1" applyFill="1" applyBorder="1" applyAlignment="1">
      <alignment horizontal="left" vertical="center" wrapText="1"/>
    </xf>
    <xf numFmtId="43" fontId="0" fillId="0" borderId="1" xfId="5" applyFont="1" applyBorder="1"/>
    <xf numFmtId="43" fontId="18" fillId="5" borderId="2" xfId="5" applyFont="1" applyFill="1" applyBorder="1" applyAlignment="1">
      <alignment horizontal="left" vertical="center" wrapText="1"/>
    </xf>
    <xf numFmtId="43" fontId="12" fillId="3" borderId="1" xfId="5" applyFont="1" applyFill="1" applyBorder="1" applyAlignment="1">
      <alignment vertical="center"/>
    </xf>
    <xf numFmtId="168" fontId="7" fillId="0" borderId="1" xfId="0" applyNumberFormat="1" applyFont="1" applyBorder="1" applyAlignment="1">
      <alignment vertical="center"/>
    </xf>
    <xf numFmtId="168" fontId="8" fillId="4" borderId="1" xfId="0" applyNumberFormat="1" applyFont="1" applyFill="1" applyBorder="1" applyAlignment="1">
      <alignment vertical="center"/>
    </xf>
    <xf numFmtId="43" fontId="8" fillId="0" borderId="1" xfId="5" applyFont="1" applyBorder="1" applyAlignment="1">
      <alignment vertical="center" wrapText="1"/>
    </xf>
    <xf numFmtId="43" fontId="8" fillId="3" borderId="1" xfId="5" applyFont="1" applyFill="1" applyBorder="1" applyAlignment="1">
      <alignment vertical="center"/>
    </xf>
    <xf numFmtId="43" fontId="8" fillId="0" borderId="1" xfId="5" applyFont="1" applyFill="1" applyBorder="1" applyAlignment="1">
      <alignment vertical="center"/>
    </xf>
    <xf numFmtId="43" fontId="8" fillId="0" borderId="1" xfId="5" applyFont="1" applyFill="1" applyBorder="1" applyAlignment="1">
      <alignment vertical="center" wrapText="1"/>
    </xf>
    <xf numFmtId="168" fontId="12" fillId="3" borderId="1" xfId="0" applyNumberFormat="1" applyFont="1" applyFill="1" applyBorder="1" applyAlignment="1">
      <alignment vertical="center"/>
    </xf>
    <xf numFmtId="168" fontId="7" fillId="4" borderId="1" xfId="0" applyNumberFormat="1" applyFont="1" applyFill="1" applyBorder="1" applyAlignment="1">
      <alignment vertical="center"/>
    </xf>
    <xf numFmtId="168" fontId="12" fillId="2" borderId="1" xfId="0" applyNumberFormat="1" applyFont="1" applyFill="1" applyBorder="1" applyAlignment="1">
      <alignment horizontal="right" vertical="center"/>
    </xf>
    <xf numFmtId="168" fontId="7" fillId="0" borderId="0" xfId="0" applyNumberFormat="1" applyFont="1" applyFill="1" applyAlignment="1">
      <alignment vertical="center"/>
    </xf>
    <xf numFmtId="0" fontId="14" fillId="0" borderId="7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3" fontId="12" fillId="4" borderId="1" xfId="5" applyFont="1" applyFill="1" applyBorder="1" applyAlignment="1">
      <alignment vertical="center"/>
    </xf>
    <xf numFmtId="0" fontId="21" fillId="4" borderId="2" xfId="4" applyFont="1" applyFill="1">
      <alignment horizontal="center" vertical="center" wrapText="1"/>
    </xf>
    <xf numFmtId="43" fontId="21" fillId="5" borderId="2" xfId="5" applyFont="1" applyFill="1" applyBorder="1" applyAlignment="1">
      <alignment horizontal="left" vertical="center" wrapText="1"/>
    </xf>
    <xf numFmtId="43" fontId="21" fillId="5" borderId="6" xfId="5" applyFont="1" applyFill="1" applyBorder="1" applyAlignment="1">
      <alignment horizontal="left" vertical="center" wrapText="1"/>
    </xf>
    <xf numFmtId="43" fontId="21" fillId="5" borderId="1" xfId="5" applyFont="1" applyFill="1" applyBorder="1" applyAlignment="1">
      <alignment horizontal="left" vertical="center" wrapText="1"/>
    </xf>
    <xf numFmtId="43" fontId="22" fillId="0" borderId="1" xfId="5" applyFont="1" applyBorder="1"/>
    <xf numFmtId="0" fontId="22" fillId="0" borderId="1" xfId="0" applyFont="1" applyBorder="1"/>
    <xf numFmtId="0" fontId="22" fillId="0" borderId="0" xfId="0" applyFont="1"/>
    <xf numFmtId="0" fontId="14" fillId="7" borderId="0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3" fontId="8" fillId="0" borderId="1" xfId="5" applyFont="1" applyFill="1" applyBorder="1" applyAlignment="1">
      <alignment horizontal="center" vertical="center"/>
    </xf>
    <xf numFmtId="43" fontId="8" fillId="0" borderId="3" xfId="5" applyFont="1" applyFill="1" applyBorder="1" applyAlignment="1">
      <alignment vertical="center"/>
    </xf>
    <xf numFmtId="43" fontId="19" fillId="0" borderId="1" xfId="5" applyFont="1" applyFill="1" applyBorder="1" applyAlignment="1">
      <alignment vertical="center"/>
    </xf>
    <xf numFmtId="43" fontId="19" fillId="0" borderId="1" xfId="5" applyFont="1" applyFill="1" applyBorder="1" applyAlignment="1">
      <alignment vertical="center" wrapText="1"/>
    </xf>
    <xf numFmtId="43" fontId="12" fillId="0" borderId="1" xfId="5" applyFont="1" applyFill="1" applyBorder="1" applyAlignment="1">
      <alignment vertical="center" wrapText="1"/>
    </xf>
    <xf numFmtId="43" fontId="12" fillId="0" borderId="1" xfId="5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wrapText="1"/>
    </xf>
    <xf numFmtId="167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167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0" fontId="6" fillId="0" borderId="2" xfId="3" applyFont="1" applyFill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9" fontId="6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69" fontId="6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5" xfId="4" applyFont="1" applyFill="1" applyBorder="1">
      <alignment horizontal="center" vertical="center" wrapText="1"/>
    </xf>
    <xf numFmtId="2" fontId="6" fillId="0" borderId="5" xfId="4" applyNumberFormat="1" applyFont="1" applyFill="1" applyBorder="1">
      <alignment horizontal="center" vertical="center" wrapText="1"/>
    </xf>
    <xf numFmtId="0" fontId="6" fillId="0" borderId="2" xfId="4" applyFont="1" applyFill="1">
      <alignment horizontal="center" vertical="center" wrapText="1"/>
    </xf>
    <xf numFmtId="165" fontId="6" fillId="0" borderId="2" xfId="4" applyNumberFormat="1" applyFont="1" applyFill="1">
      <alignment horizontal="center" vertical="center" wrapText="1"/>
    </xf>
    <xf numFmtId="2" fontId="6" fillId="0" borderId="2" xfId="4" applyNumberFormat="1" applyFont="1" applyFill="1">
      <alignment horizontal="center" vertical="center" wrapText="1"/>
    </xf>
    <xf numFmtId="0" fontId="7" fillId="0" borderId="2" xfId="4" applyFont="1" applyFill="1">
      <alignment horizontal="center" vertical="center" wrapText="1"/>
    </xf>
    <xf numFmtId="2" fontId="7" fillId="0" borderId="2" xfId="4" applyNumberFormat="1" applyFont="1" applyFill="1">
      <alignment horizontal="center" vertical="center" wrapText="1"/>
    </xf>
    <xf numFmtId="166" fontId="6" fillId="0" borderId="2" xfId="4" applyNumberFormat="1" applyFont="1" applyFill="1">
      <alignment horizontal="center" vertical="center" wrapText="1"/>
    </xf>
    <xf numFmtId="165" fontId="7" fillId="0" borderId="2" xfId="4" applyNumberFormat="1" applyFont="1" applyFill="1">
      <alignment horizontal="center" vertical="center" wrapText="1"/>
    </xf>
    <xf numFmtId="170" fontId="7" fillId="0" borderId="2" xfId="4" applyNumberFormat="1" applyFont="1" applyFill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43" fontId="12" fillId="3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8" fillId="0" borderId="1" xfId="5" applyNumberFormat="1" applyFont="1" applyFill="1" applyBorder="1" applyAlignment="1">
      <alignment vertical="center"/>
    </xf>
    <xf numFmtId="4" fontId="8" fillId="0" borderId="1" xfId="5" applyNumberFormat="1" applyFont="1" applyBorder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6">
    <cellStyle name="Normal" xfId="2" xr:uid="{FA60F43A-3D3F-4CDF-B04D-AAB87A931166}"/>
    <cellStyle name="vor_itm_table_style" xfId="4" xr:uid="{0C206894-9E12-4651-A2C0-86237FC1A636}"/>
    <cellStyle name="vor_itm_table_style_left" xfId="3" xr:uid="{75D79AED-F168-463F-BE1B-4F4FA2D04AB0}"/>
    <cellStyle name="Обычный" xfId="0" builtinId="0"/>
    <cellStyle name="Обычный 2 6" xfId="1" xr:uid="{AAD5B3BB-2837-4999-8AA3-A3597F9AB74A}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29"/>
  <sheetViews>
    <sheetView tabSelected="1" view="pageBreakPreview" topLeftCell="A8" zoomScale="115" zoomScaleNormal="115" zoomScaleSheetLayoutView="115" workbookViewId="0">
      <selection activeCell="E347" sqref="E347"/>
    </sheetView>
  </sheetViews>
  <sheetFormatPr defaultRowHeight="12.75" outlineLevelRow="1" x14ac:dyDescent="0.25"/>
  <cols>
    <col min="1" max="1" width="6.5703125" style="6" bestFit="1" customWidth="1"/>
    <col min="2" max="2" width="80.5703125" style="30" customWidth="1"/>
    <col min="3" max="3" width="8.5703125" style="11" bestFit="1" customWidth="1"/>
    <col min="4" max="4" width="8" style="25" bestFit="1" customWidth="1"/>
    <col min="5" max="5" width="11.140625" style="12" bestFit="1" customWidth="1"/>
    <col min="6" max="6" width="11.5703125" style="12" bestFit="1" customWidth="1"/>
    <col min="7" max="8" width="12.5703125" style="12" bestFit="1" customWidth="1"/>
    <col min="9" max="9" width="15.5703125" style="12" customWidth="1"/>
    <col min="10" max="10" width="34.140625" style="5" bestFit="1" customWidth="1"/>
    <col min="11" max="11" width="14.7109375" style="13" bestFit="1" customWidth="1"/>
    <col min="12" max="16384" width="9.140625" style="5"/>
  </cols>
  <sheetData>
    <row r="1" spans="1:11" ht="15.75" x14ac:dyDescent="0.25">
      <c r="A1" s="245" t="s">
        <v>122</v>
      </c>
      <c r="B1" s="245"/>
      <c r="C1" s="245"/>
      <c r="D1" s="245"/>
      <c r="E1" s="27"/>
      <c r="F1" s="27"/>
      <c r="G1" s="27"/>
      <c r="H1" s="27"/>
      <c r="I1" s="27"/>
      <c r="J1" s="27"/>
    </row>
    <row r="2" spans="1:11" ht="30.75" customHeight="1" x14ac:dyDescent="0.25">
      <c r="A2" s="245" t="s">
        <v>92</v>
      </c>
      <c r="B2" s="245"/>
      <c r="C2" s="245"/>
      <c r="D2" s="245"/>
      <c r="E2" s="27"/>
      <c r="F2" s="27"/>
      <c r="G2" s="27"/>
      <c r="H2" s="27"/>
      <c r="I2" s="27"/>
      <c r="J2" s="27"/>
    </row>
    <row r="3" spans="1:11" s="1" customFormat="1" ht="14.25" x14ac:dyDescent="0.2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14"/>
    </row>
    <row r="4" spans="1:11" s="23" customFormat="1" ht="26.25" customHeight="1" x14ac:dyDescent="0.25">
      <c r="A4" s="247" t="s">
        <v>120</v>
      </c>
      <c r="B4" s="247"/>
      <c r="C4" s="247"/>
      <c r="D4" s="247"/>
      <c r="E4" s="4"/>
      <c r="F4" s="4"/>
      <c r="G4" s="4"/>
      <c r="H4" s="4"/>
      <c r="I4" s="4"/>
      <c r="J4" s="4"/>
      <c r="K4" s="14"/>
    </row>
    <row r="5" spans="1:11" s="24" customFormat="1" x14ac:dyDescent="0.25">
      <c r="A5" s="247"/>
      <c r="B5" s="247"/>
      <c r="C5" s="247"/>
      <c r="D5" s="247"/>
      <c r="E5" s="4"/>
      <c r="F5" s="4"/>
      <c r="G5" s="4"/>
      <c r="H5" s="4"/>
      <c r="I5" s="4"/>
      <c r="J5" s="4"/>
      <c r="K5" s="14"/>
    </row>
    <row r="6" spans="1:11" x14ac:dyDescent="0.25">
      <c r="B6" s="30" t="s">
        <v>9</v>
      </c>
      <c r="D6" s="16"/>
      <c r="E6" s="5"/>
      <c r="F6" s="5"/>
      <c r="G6" s="5"/>
      <c r="H6" s="5"/>
      <c r="I6" s="5"/>
    </row>
    <row r="8" spans="1:11" s="10" customFormat="1" ht="54" x14ac:dyDescent="0.25">
      <c r="A8" s="7" t="s">
        <v>1</v>
      </c>
      <c r="B8" s="8" t="s">
        <v>2</v>
      </c>
      <c r="C8" s="8" t="s">
        <v>3</v>
      </c>
      <c r="D8" s="26" t="s">
        <v>4</v>
      </c>
      <c r="E8" s="9" t="s">
        <v>11</v>
      </c>
      <c r="F8" s="9" t="s">
        <v>12</v>
      </c>
      <c r="G8" s="9" t="s">
        <v>6</v>
      </c>
      <c r="H8" s="9" t="s">
        <v>7</v>
      </c>
      <c r="I8" s="9" t="s">
        <v>8</v>
      </c>
      <c r="J8" s="8" t="s">
        <v>5</v>
      </c>
      <c r="K8" s="15"/>
    </row>
    <row r="9" spans="1:11" s="20" customFormat="1" ht="13.5" x14ac:dyDescent="0.25">
      <c r="A9" s="17"/>
      <c r="B9" s="18" t="s">
        <v>21</v>
      </c>
      <c r="C9" s="17"/>
      <c r="D9" s="17"/>
      <c r="E9" s="19"/>
      <c r="F9" s="19"/>
      <c r="G9" s="19"/>
      <c r="H9" s="19"/>
      <c r="I9" s="144">
        <f>I10+I157+I232</f>
        <v>25158987.289999999</v>
      </c>
      <c r="J9" s="19"/>
    </row>
    <row r="10" spans="1:11" s="63" customFormat="1" ht="13.5" x14ac:dyDescent="0.25">
      <c r="A10" s="28" t="s">
        <v>27</v>
      </c>
      <c r="B10" s="31" t="s">
        <v>117</v>
      </c>
      <c r="C10" s="28"/>
      <c r="D10" s="28"/>
      <c r="E10" s="28"/>
      <c r="F10" s="28"/>
      <c r="G10" s="28"/>
      <c r="H10" s="28"/>
      <c r="I10" s="240">
        <f>SUM(I11:I146)</f>
        <v>1999779.5899999999</v>
      </c>
      <c r="J10" s="28"/>
    </row>
    <row r="11" spans="1:11" s="115" customFormat="1" collapsed="1" x14ac:dyDescent="0.25">
      <c r="A11" s="189" t="s">
        <v>13</v>
      </c>
      <c r="B11" s="190" t="s">
        <v>50</v>
      </c>
      <c r="C11" s="189" t="s">
        <v>110</v>
      </c>
      <c r="D11" s="191">
        <v>1</v>
      </c>
      <c r="E11" s="140">
        <f>G11/D11</f>
        <v>0</v>
      </c>
      <c r="F11" s="173">
        <f>H11/D11</f>
        <v>141985.79</v>
      </c>
      <c r="G11" s="140">
        <v>0</v>
      </c>
      <c r="H11" s="173">
        <v>141985.79</v>
      </c>
      <c r="I11" s="140">
        <f>G11+H11</f>
        <v>141985.79</v>
      </c>
      <c r="J11" s="137"/>
      <c r="K11" s="114"/>
    </row>
    <row r="12" spans="1:11" ht="13.5" hidden="1" outlineLevel="1" x14ac:dyDescent="0.25">
      <c r="A12" s="193"/>
      <c r="B12" s="194" t="s">
        <v>124</v>
      </c>
      <c r="C12" s="180" t="s">
        <v>0</v>
      </c>
      <c r="D12" s="47">
        <f>24*0.06</f>
        <v>1.44</v>
      </c>
      <c r="E12" s="140"/>
      <c r="F12" s="140"/>
      <c r="G12" s="140"/>
      <c r="H12" s="140"/>
      <c r="I12" s="140">
        <f t="shared" ref="I12:I51" si="0">G12+H12</f>
        <v>0</v>
      </c>
      <c r="J12" s="65"/>
    </row>
    <row r="13" spans="1:11" ht="13.5" hidden="1" outlineLevel="1" x14ac:dyDescent="0.25">
      <c r="A13" s="193"/>
      <c r="B13" s="196" t="s">
        <v>108</v>
      </c>
      <c r="C13" s="180" t="s">
        <v>0</v>
      </c>
      <c r="D13" s="47">
        <f>6.25*3*0.06</f>
        <v>1.125</v>
      </c>
      <c r="E13" s="140"/>
      <c r="F13" s="140"/>
      <c r="G13" s="140"/>
      <c r="H13" s="140"/>
      <c r="I13" s="140">
        <f t="shared" si="0"/>
        <v>0</v>
      </c>
      <c r="J13" s="65"/>
    </row>
    <row r="14" spans="1:11" ht="13.5" hidden="1" outlineLevel="1" x14ac:dyDescent="0.2">
      <c r="A14" s="193"/>
      <c r="B14" s="197" t="s">
        <v>127</v>
      </c>
      <c r="C14" s="180" t="s">
        <v>22</v>
      </c>
      <c r="D14" s="198">
        <f>(D12+D13)*1.9</f>
        <v>4.8734999999999999</v>
      </c>
      <c r="E14" s="140"/>
      <c r="F14" s="140"/>
      <c r="G14" s="140"/>
      <c r="H14" s="140"/>
      <c r="I14" s="140">
        <f t="shared" si="0"/>
        <v>0</v>
      </c>
      <c r="J14" s="65"/>
    </row>
    <row r="15" spans="1:11" ht="15" hidden="1" customHeight="1" outlineLevel="1" x14ac:dyDescent="0.25">
      <c r="A15" s="199"/>
      <c r="B15" s="200" t="s">
        <v>128</v>
      </c>
      <c r="C15" s="201" t="s">
        <v>22</v>
      </c>
      <c r="D15" s="202">
        <f>D14</f>
        <v>4.8734999999999999</v>
      </c>
      <c r="E15" s="174"/>
      <c r="F15" s="174"/>
      <c r="G15" s="174"/>
      <c r="H15" s="174"/>
      <c r="I15" s="140">
        <f t="shared" si="0"/>
        <v>0</v>
      </c>
      <c r="J15" s="69"/>
    </row>
    <row r="16" spans="1:11" ht="13.5" hidden="1" outlineLevel="1" x14ac:dyDescent="0.25">
      <c r="A16" s="199"/>
      <c r="B16" s="203" t="s">
        <v>93</v>
      </c>
      <c r="C16" s="201" t="s">
        <v>0</v>
      </c>
      <c r="D16" s="204">
        <v>2.2599999999999998</v>
      </c>
      <c r="E16" s="174"/>
      <c r="F16" s="174"/>
      <c r="G16" s="174"/>
      <c r="H16" s="174"/>
      <c r="I16" s="140">
        <f t="shared" si="0"/>
        <v>0</v>
      </c>
      <c r="J16" s="69" t="s">
        <v>125</v>
      </c>
    </row>
    <row r="17" spans="1:10" ht="13.5" hidden="1" outlineLevel="1" x14ac:dyDescent="0.25">
      <c r="A17" s="199"/>
      <c r="B17" s="205" t="s">
        <v>126</v>
      </c>
      <c r="C17" s="180" t="s">
        <v>22</v>
      </c>
      <c r="D17" s="202">
        <f>0.226*10*2.4</f>
        <v>5.4240000000000004</v>
      </c>
      <c r="E17" s="174"/>
      <c r="F17" s="174"/>
      <c r="G17" s="174"/>
      <c r="H17" s="174"/>
      <c r="I17" s="140">
        <f t="shared" si="0"/>
        <v>0</v>
      </c>
      <c r="J17" s="69"/>
    </row>
    <row r="18" spans="1:10" ht="13.5" hidden="1" outlineLevel="1" x14ac:dyDescent="0.25">
      <c r="A18" s="199"/>
      <c r="B18" s="205" t="s">
        <v>129</v>
      </c>
      <c r="C18" s="201" t="s">
        <v>22</v>
      </c>
      <c r="D18" s="202">
        <f>D17</f>
        <v>5.4240000000000004</v>
      </c>
      <c r="E18" s="174"/>
      <c r="F18" s="174"/>
      <c r="G18" s="174"/>
      <c r="H18" s="174"/>
      <c r="I18" s="140">
        <f t="shared" si="0"/>
        <v>0</v>
      </c>
      <c r="J18" s="69"/>
    </row>
    <row r="19" spans="1:10" ht="13.5" hidden="1" outlineLevel="1" x14ac:dyDescent="0.25">
      <c r="A19" s="199"/>
      <c r="B19" s="206" t="s">
        <v>130</v>
      </c>
      <c r="C19" s="201" t="s">
        <v>25</v>
      </c>
      <c r="D19" s="204">
        <v>111.7</v>
      </c>
      <c r="E19" s="174"/>
      <c r="F19" s="174"/>
      <c r="G19" s="174"/>
      <c r="H19" s="174"/>
      <c r="I19" s="140">
        <f>G19+H19</f>
        <v>0</v>
      </c>
      <c r="J19" s="69"/>
    </row>
    <row r="20" spans="1:10" ht="13.5" hidden="1" outlineLevel="1" x14ac:dyDescent="0.25">
      <c r="A20" s="199"/>
      <c r="B20" s="205" t="s">
        <v>132</v>
      </c>
      <c r="C20" s="201" t="s">
        <v>102</v>
      </c>
      <c r="D20" s="207">
        <f>61.6/1000</f>
        <v>6.1600000000000002E-2</v>
      </c>
      <c r="E20" s="174"/>
      <c r="F20" s="174"/>
      <c r="G20" s="174"/>
      <c r="H20" s="174"/>
      <c r="I20" s="140">
        <f t="shared" si="0"/>
        <v>0</v>
      </c>
      <c r="J20" s="69"/>
    </row>
    <row r="21" spans="1:10" ht="13.5" hidden="1" outlineLevel="1" x14ac:dyDescent="0.25">
      <c r="A21" s="199"/>
      <c r="B21" s="205" t="s">
        <v>131</v>
      </c>
      <c r="C21" s="201" t="s">
        <v>28</v>
      </c>
      <c r="D21" s="208">
        <v>2</v>
      </c>
      <c r="E21" s="174"/>
      <c r="F21" s="174"/>
      <c r="G21" s="174"/>
      <c r="H21" s="174"/>
      <c r="I21" s="140">
        <f>G21+H21</f>
        <v>0</v>
      </c>
      <c r="J21" s="69"/>
    </row>
    <row r="22" spans="1:10" ht="13.5" hidden="1" outlineLevel="1" x14ac:dyDescent="0.25">
      <c r="A22" s="199"/>
      <c r="B22" s="205" t="s">
        <v>133</v>
      </c>
      <c r="C22" s="201" t="s">
        <v>22</v>
      </c>
      <c r="D22" s="207">
        <f>3.87599+0.0616+0.058*2</f>
        <v>4.0535899999999998</v>
      </c>
      <c r="E22" s="174"/>
      <c r="F22" s="174"/>
      <c r="G22" s="174"/>
      <c r="H22" s="174"/>
      <c r="I22" s="140">
        <f t="shared" si="0"/>
        <v>0</v>
      </c>
      <c r="J22" s="69"/>
    </row>
    <row r="23" spans="1:10" ht="13.5" hidden="1" outlineLevel="1" x14ac:dyDescent="0.25">
      <c r="A23" s="199"/>
      <c r="B23" s="205" t="s">
        <v>196</v>
      </c>
      <c r="C23" s="201" t="s">
        <v>22</v>
      </c>
      <c r="D23" s="207">
        <f>D22</f>
        <v>4.0535899999999998</v>
      </c>
      <c r="E23" s="174"/>
      <c r="F23" s="174"/>
      <c r="G23" s="174"/>
      <c r="H23" s="174"/>
      <c r="I23" s="140">
        <f t="shared" si="0"/>
        <v>0</v>
      </c>
      <c r="J23" s="147"/>
    </row>
    <row r="24" spans="1:10" s="63" customFormat="1" collapsed="1" x14ac:dyDescent="0.25">
      <c r="A24" s="32" t="s">
        <v>17</v>
      </c>
      <c r="B24" s="42" t="s">
        <v>300</v>
      </c>
      <c r="C24" s="189" t="s">
        <v>0</v>
      </c>
      <c r="D24" s="209">
        <f>SUM(D27:D28)+D29+D41+D42</f>
        <v>102.85</v>
      </c>
      <c r="E24" s="140">
        <f>G24/D24</f>
        <v>1242.2056976178901</v>
      </c>
      <c r="F24" s="173">
        <f>H24/D24</f>
        <v>928.4129703451631</v>
      </c>
      <c r="G24" s="173">
        <f>(36019.7+70447.68)*1.2</f>
        <v>127760.85599999999</v>
      </c>
      <c r="H24" s="173">
        <f>223248.13-G24</f>
        <v>95487.274000000019</v>
      </c>
      <c r="I24" s="140">
        <f>G24+H24</f>
        <v>223248.13</v>
      </c>
      <c r="J24" s="32"/>
    </row>
    <row r="25" spans="1:10" s="63" customFormat="1" hidden="1" outlineLevel="1" x14ac:dyDescent="0.25">
      <c r="A25" s="32"/>
      <c r="B25" s="42" t="s">
        <v>153</v>
      </c>
      <c r="C25" s="32"/>
      <c r="D25" s="116"/>
      <c r="E25" s="173"/>
      <c r="F25" s="173"/>
      <c r="G25" s="128"/>
      <c r="H25" s="128"/>
      <c r="I25" s="126"/>
      <c r="J25" s="32"/>
    </row>
    <row r="26" spans="1:10" s="63" customFormat="1" hidden="1" outlineLevel="1" x14ac:dyDescent="0.25">
      <c r="A26" s="96"/>
      <c r="B26" s="194" t="s">
        <v>134</v>
      </c>
      <c r="C26" s="180" t="s">
        <v>0</v>
      </c>
      <c r="D26" s="180">
        <v>12.5</v>
      </c>
      <c r="E26" s="173"/>
      <c r="F26" s="173"/>
      <c r="G26" s="173"/>
      <c r="H26" s="173"/>
      <c r="I26" s="126">
        <f t="shared" si="0"/>
        <v>0</v>
      </c>
      <c r="J26" s="32"/>
    </row>
    <row r="27" spans="1:10" s="63" customFormat="1" ht="28.5" hidden="1" customHeight="1" outlineLevel="1" x14ac:dyDescent="0.25">
      <c r="A27" s="96"/>
      <c r="B27" s="194" t="s">
        <v>135</v>
      </c>
      <c r="C27" s="180" t="s">
        <v>0</v>
      </c>
      <c r="D27" s="180">
        <v>12.5</v>
      </c>
      <c r="E27" s="173"/>
      <c r="F27" s="173"/>
      <c r="G27" s="173"/>
      <c r="H27" s="173"/>
      <c r="I27" s="126">
        <f t="shared" ref="I27" si="1">G27+H27</f>
        <v>0</v>
      </c>
      <c r="J27" s="32"/>
    </row>
    <row r="28" spans="1:10" s="75" customFormat="1" ht="25.5" hidden="1" outlineLevel="1" x14ac:dyDescent="0.25">
      <c r="A28" s="72"/>
      <c r="B28" s="194" t="s">
        <v>136</v>
      </c>
      <c r="C28" s="180" t="s">
        <v>0</v>
      </c>
      <c r="D28" s="195">
        <v>75.3</v>
      </c>
      <c r="E28" s="140"/>
      <c r="F28" s="140"/>
      <c r="G28" s="140"/>
      <c r="H28" s="140"/>
      <c r="I28" s="126">
        <f t="shared" si="0"/>
        <v>0</v>
      </c>
      <c r="J28" s="74"/>
    </row>
    <row r="29" spans="1:10" s="75" customFormat="1" hidden="1" outlineLevel="1" x14ac:dyDescent="0.25">
      <c r="A29" s="72"/>
      <c r="B29" s="194" t="s">
        <v>137</v>
      </c>
      <c r="C29" s="180" t="s">
        <v>0</v>
      </c>
      <c r="D29" s="47">
        <v>6.95</v>
      </c>
      <c r="E29" s="140"/>
      <c r="F29" s="140"/>
      <c r="G29" s="140"/>
      <c r="H29" s="140"/>
      <c r="I29" s="126">
        <f>G29+H29</f>
        <v>0</v>
      </c>
      <c r="J29" s="74"/>
    </row>
    <row r="30" spans="1:10" s="75" customFormat="1" hidden="1" outlineLevel="1" x14ac:dyDescent="0.25">
      <c r="A30" s="72"/>
      <c r="B30" s="159" t="s">
        <v>138</v>
      </c>
      <c r="C30" s="180" t="s">
        <v>22</v>
      </c>
      <c r="D30" s="210">
        <f>D29*1.65</f>
        <v>11.467499999999999</v>
      </c>
      <c r="E30" s="140"/>
      <c r="F30" s="140"/>
      <c r="G30" s="140"/>
      <c r="H30" s="140"/>
      <c r="I30" s="126">
        <f t="shared" si="0"/>
        <v>0</v>
      </c>
      <c r="J30" s="74"/>
    </row>
    <row r="31" spans="1:10" s="75" customFormat="1" hidden="1" outlineLevel="1" x14ac:dyDescent="0.25">
      <c r="A31" s="72"/>
      <c r="B31" s="159" t="s">
        <v>139</v>
      </c>
      <c r="C31" s="180" t="s">
        <v>22</v>
      </c>
      <c r="D31" s="210">
        <f>D28*1.65+D30</f>
        <v>135.71249999999998</v>
      </c>
      <c r="E31" s="140"/>
      <c r="F31" s="140"/>
      <c r="G31" s="140"/>
      <c r="H31" s="140"/>
      <c r="I31" s="126">
        <f t="shared" si="0"/>
        <v>0</v>
      </c>
      <c r="J31" s="74"/>
    </row>
    <row r="32" spans="1:10" s="75" customFormat="1" ht="25.5" hidden="1" outlineLevel="1" x14ac:dyDescent="0.25">
      <c r="A32" s="72"/>
      <c r="B32" s="159" t="s">
        <v>140</v>
      </c>
      <c r="C32" s="180" t="s">
        <v>0</v>
      </c>
      <c r="D32" s="47">
        <v>62.6</v>
      </c>
      <c r="E32" s="140"/>
      <c r="F32" s="140"/>
      <c r="G32" s="140"/>
      <c r="H32" s="140"/>
      <c r="I32" s="126">
        <f t="shared" si="0"/>
        <v>0</v>
      </c>
      <c r="J32" s="74"/>
    </row>
    <row r="33" spans="1:10" s="75" customFormat="1" hidden="1" outlineLevel="1" x14ac:dyDescent="0.25">
      <c r="A33" s="72"/>
      <c r="B33" s="159" t="s">
        <v>141</v>
      </c>
      <c r="C33" s="180" t="s">
        <v>0</v>
      </c>
      <c r="D33" s="47">
        <v>6.95</v>
      </c>
      <c r="E33" s="140"/>
      <c r="F33" s="140"/>
      <c r="G33" s="140"/>
      <c r="H33" s="140"/>
      <c r="I33" s="126">
        <f t="shared" si="0"/>
        <v>0</v>
      </c>
      <c r="J33" s="74"/>
    </row>
    <row r="34" spans="1:10" s="75" customFormat="1" hidden="1" outlineLevel="1" x14ac:dyDescent="0.25">
      <c r="A34" s="72"/>
      <c r="B34" s="211" t="s">
        <v>142</v>
      </c>
      <c r="C34" s="212" t="s">
        <v>0</v>
      </c>
      <c r="D34" s="213">
        <f>(D32+D33)*1.1</f>
        <v>76.50500000000001</v>
      </c>
      <c r="E34" s="140"/>
      <c r="F34" s="140"/>
      <c r="G34" s="140"/>
      <c r="H34" s="140"/>
      <c r="I34" s="126">
        <f t="shared" si="0"/>
        <v>0</v>
      </c>
      <c r="J34" s="74"/>
    </row>
    <row r="35" spans="1:10" s="75" customFormat="1" hidden="1" outlineLevel="1" x14ac:dyDescent="0.25">
      <c r="A35" s="72"/>
      <c r="B35" s="159" t="s">
        <v>198</v>
      </c>
      <c r="C35" s="180" t="s">
        <v>0</v>
      </c>
      <c r="D35" s="47">
        <v>62.6</v>
      </c>
      <c r="E35" s="140"/>
      <c r="F35" s="140"/>
      <c r="G35" s="140"/>
      <c r="H35" s="140"/>
      <c r="I35" s="126">
        <f t="shared" si="0"/>
        <v>0</v>
      </c>
      <c r="J35" s="74"/>
    </row>
    <row r="36" spans="1:10" s="75" customFormat="1" ht="39.75" hidden="1" customHeight="1" outlineLevel="1" x14ac:dyDescent="0.25">
      <c r="A36" s="87"/>
      <c r="B36" s="159" t="s">
        <v>144</v>
      </c>
      <c r="C36" s="180" t="s">
        <v>102</v>
      </c>
      <c r="D36" s="47">
        <f>21.2*88.8</f>
        <v>1882.56</v>
      </c>
      <c r="E36" s="140"/>
      <c r="F36" s="140"/>
      <c r="G36" s="140"/>
      <c r="H36" s="140"/>
      <c r="I36" s="126">
        <f t="shared" ref="I36:I39" si="2">G36+H36</f>
        <v>0</v>
      </c>
      <c r="J36" s="74"/>
    </row>
    <row r="37" spans="1:10" s="75" customFormat="1" hidden="1" outlineLevel="1" x14ac:dyDescent="0.25">
      <c r="A37" s="72"/>
      <c r="B37" s="211" t="s">
        <v>91</v>
      </c>
      <c r="C37" s="212" t="s">
        <v>25</v>
      </c>
      <c r="D37" s="59">
        <v>88.8</v>
      </c>
      <c r="E37" s="140"/>
      <c r="F37" s="140"/>
      <c r="G37" s="140"/>
      <c r="H37" s="140"/>
      <c r="I37" s="126">
        <f t="shared" si="2"/>
        <v>0</v>
      </c>
      <c r="J37" s="74"/>
    </row>
    <row r="38" spans="1:10" s="75" customFormat="1" hidden="1" outlineLevel="1" x14ac:dyDescent="0.25">
      <c r="A38" s="72"/>
      <c r="B38" s="211" t="s">
        <v>51</v>
      </c>
      <c r="C38" s="212" t="s">
        <v>29</v>
      </c>
      <c r="D38" s="213">
        <v>122.148</v>
      </c>
      <c r="E38" s="140"/>
      <c r="F38" s="140"/>
      <c r="G38" s="140"/>
      <c r="H38" s="140"/>
      <c r="I38" s="126">
        <f t="shared" si="2"/>
        <v>0</v>
      </c>
      <c r="J38" s="74"/>
    </row>
    <row r="39" spans="1:10" s="75" customFormat="1" hidden="1" outlineLevel="1" x14ac:dyDescent="0.25">
      <c r="A39" s="81"/>
      <c r="B39" s="211" t="s">
        <v>52</v>
      </c>
      <c r="C39" s="212" t="s">
        <v>0</v>
      </c>
      <c r="D39" s="59">
        <v>6</v>
      </c>
      <c r="E39" s="140"/>
      <c r="F39" s="140"/>
      <c r="G39" s="140"/>
      <c r="H39" s="140"/>
      <c r="I39" s="126">
        <f t="shared" si="2"/>
        <v>0</v>
      </c>
      <c r="J39" s="74"/>
    </row>
    <row r="40" spans="1:10" s="75" customFormat="1" hidden="1" outlineLevel="1" x14ac:dyDescent="0.25">
      <c r="A40" s="81"/>
      <c r="B40" s="121" t="s">
        <v>154</v>
      </c>
      <c r="C40" s="212"/>
      <c r="D40" s="59"/>
      <c r="E40" s="140"/>
      <c r="F40" s="140"/>
      <c r="G40" s="140"/>
      <c r="H40" s="140"/>
      <c r="I40" s="126"/>
      <c r="J40" s="74"/>
    </row>
    <row r="41" spans="1:10" s="75" customFormat="1" ht="25.5" hidden="1" customHeight="1" outlineLevel="1" x14ac:dyDescent="0.25">
      <c r="A41" s="87"/>
      <c r="B41" s="159" t="s">
        <v>192</v>
      </c>
      <c r="C41" s="212" t="s">
        <v>0</v>
      </c>
      <c r="D41" s="59">
        <v>7.94</v>
      </c>
      <c r="E41" s="140"/>
      <c r="F41" s="140"/>
      <c r="G41" s="140"/>
      <c r="H41" s="140"/>
      <c r="I41" s="126">
        <f t="shared" ref="I41:I47" si="3">G41+H41</f>
        <v>0</v>
      </c>
      <c r="J41" s="74"/>
    </row>
    <row r="42" spans="1:10" s="75" customFormat="1" hidden="1" outlineLevel="1" x14ac:dyDescent="0.25">
      <c r="A42" s="87"/>
      <c r="B42" s="159" t="s">
        <v>155</v>
      </c>
      <c r="C42" s="212" t="s">
        <v>0</v>
      </c>
      <c r="D42" s="59">
        <v>0.16</v>
      </c>
      <c r="E42" s="140"/>
      <c r="F42" s="140"/>
      <c r="G42" s="140"/>
      <c r="H42" s="140"/>
      <c r="I42" s="126">
        <f t="shared" si="3"/>
        <v>0</v>
      </c>
      <c r="J42" s="74"/>
    </row>
    <row r="43" spans="1:10" s="75" customFormat="1" ht="27" hidden="1" customHeight="1" outlineLevel="1" x14ac:dyDescent="0.25">
      <c r="A43" s="87"/>
      <c r="B43" s="159" t="s">
        <v>160</v>
      </c>
      <c r="C43" s="212" t="s">
        <v>0</v>
      </c>
      <c r="D43" s="59">
        <f>1.44</f>
        <v>1.44</v>
      </c>
      <c r="E43" s="140"/>
      <c r="F43" s="140"/>
      <c r="G43" s="140"/>
      <c r="H43" s="140"/>
      <c r="I43" s="126">
        <f t="shared" si="3"/>
        <v>0</v>
      </c>
      <c r="J43" s="74"/>
    </row>
    <row r="44" spans="1:10" s="75" customFormat="1" hidden="1" outlineLevel="1" x14ac:dyDescent="0.25">
      <c r="A44" s="87"/>
      <c r="B44" s="159" t="s">
        <v>156</v>
      </c>
      <c r="C44" s="212" t="s">
        <v>102</v>
      </c>
      <c r="D44" s="213">
        <f>D43*1.65</f>
        <v>2.3759999999999999</v>
      </c>
      <c r="E44" s="140"/>
      <c r="F44" s="140"/>
      <c r="G44" s="140"/>
      <c r="H44" s="140"/>
      <c r="I44" s="126">
        <f t="shared" si="3"/>
        <v>0</v>
      </c>
      <c r="J44" s="74"/>
    </row>
    <row r="45" spans="1:10" s="75" customFormat="1" hidden="1" outlineLevel="1" x14ac:dyDescent="0.25">
      <c r="A45" s="87"/>
      <c r="B45" s="214" t="s">
        <v>157</v>
      </c>
      <c r="C45" s="212" t="s">
        <v>0</v>
      </c>
      <c r="D45" s="59">
        <f>D41</f>
        <v>7.94</v>
      </c>
      <c r="E45" s="140"/>
      <c r="F45" s="140"/>
      <c r="G45" s="140"/>
      <c r="H45" s="140"/>
      <c r="I45" s="126">
        <f t="shared" si="3"/>
        <v>0</v>
      </c>
      <c r="J45" s="74"/>
    </row>
    <row r="46" spans="1:10" s="75" customFormat="1" hidden="1" outlineLevel="1" x14ac:dyDescent="0.25">
      <c r="A46" s="87"/>
      <c r="B46" s="159" t="s">
        <v>158</v>
      </c>
      <c r="C46" s="212" t="s">
        <v>0</v>
      </c>
      <c r="D46" s="59">
        <v>0.16</v>
      </c>
      <c r="E46" s="140"/>
      <c r="F46" s="140"/>
      <c r="G46" s="140"/>
      <c r="H46" s="140"/>
      <c r="I46" s="126">
        <f t="shared" si="3"/>
        <v>0</v>
      </c>
      <c r="J46" s="74"/>
    </row>
    <row r="47" spans="1:10" s="75" customFormat="1" hidden="1" outlineLevel="1" x14ac:dyDescent="0.25">
      <c r="A47" s="87"/>
      <c r="B47" s="159" t="s">
        <v>159</v>
      </c>
      <c r="C47" s="212" t="s">
        <v>0</v>
      </c>
      <c r="D47" s="59">
        <f>D45</f>
        <v>7.94</v>
      </c>
      <c r="E47" s="140"/>
      <c r="F47" s="140"/>
      <c r="G47" s="140"/>
      <c r="H47" s="140"/>
      <c r="I47" s="126">
        <f t="shared" si="3"/>
        <v>0</v>
      </c>
      <c r="J47" s="74"/>
    </row>
    <row r="48" spans="1:10" s="75" customFormat="1" hidden="1" outlineLevel="1" x14ac:dyDescent="0.25">
      <c r="A48" s="72"/>
      <c r="B48" s="159" t="s">
        <v>143</v>
      </c>
      <c r="C48" s="180" t="s">
        <v>10</v>
      </c>
      <c r="D48" s="47">
        <v>50</v>
      </c>
      <c r="E48" s="140"/>
      <c r="F48" s="140"/>
      <c r="G48" s="140"/>
      <c r="H48" s="140"/>
      <c r="I48" s="126">
        <f t="shared" si="0"/>
        <v>0</v>
      </c>
      <c r="J48" s="74"/>
    </row>
    <row r="49" spans="1:10" s="75" customFormat="1" collapsed="1" x14ac:dyDescent="0.25">
      <c r="A49" s="81" t="s">
        <v>18</v>
      </c>
      <c r="B49" s="121" t="s">
        <v>151</v>
      </c>
      <c r="C49" s="189" t="s">
        <v>25</v>
      </c>
      <c r="D49" s="192">
        <f>D50+D60+D70+D80</f>
        <v>119</v>
      </c>
      <c r="E49" s="140">
        <f>G49/D49</f>
        <v>1173.4624537815127</v>
      </c>
      <c r="F49" s="173">
        <f>H49/D49</f>
        <v>7869.5215798319332</v>
      </c>
      <c r="G49" s="140">
        <f>(4325.97+9068.64+30885.19+3197.46+6702.91+23163.89+2821.29+5914.33+20590.13+846.39+1774.3+7077.86)*1.2</f>
        <v>139642.03200000001</v>
      </c>
      <c r="H49" s="140">
        <f>1076115.1-G49</f>
        <v>936473.06800000009</v>
      </c>
      <c r="I49" s="140">
        <f t="shared" si="0"/>
        <v>1076115.1000000001</v>
      </c>
      <c r="J49" s="74"/>
    </row>
    <row r="50" spans="1:10" s="84" customFormat="1" hidden="1" outlineLevel="1" x14ac:dyDescent="0.25">
      <c r="A50" s="62"/>
      <c r="B50" s="101" t="s">
        <v>147</v>
      </c>
      <c r="C50" s="189" t="s">
        <v>25</v>
      </c>
      <c r="D50" s="216">
        <v>46</v>
      </c>
      <c r="E50" s="141"/>
      <c r="F50" s="140"/>
      <c r="G50" s="129"/>
      <c r="H50" s="129"/>
      <c r="I50" s="126">
        <f t="shared" si="0"/>
        <v>0</v>
      </c>
      <c r="J50" s="83"/>
    </row>
    <row r="51" spans="1:10" s="75" customFormat="1" hidden="1" outlineLevel="1" x14ac:dyDescent="0.25">
      <c r="A51" s="62"/>
      <c r="B51" s="88" t="s">
        <v>145</v>
      </c>
      <c r="C51" s="180" t="s">
        <v>0</v>
      </c>
      <c r="D51" s="47">
        <v>6.5</v>
      </c>
      <c r="E51" s="140"/>
      <c r="F51" s="140"/>
      <c r="G51" s="129"/>
      <c r="H51" s="129"/>
      <c r="I51" s="126">
        <f t="shared" si="0"/>
        <v>0</v>
      </c>
      <c r="J51" s="74"/>
    </row>
    <row r="52" spans="1:10" s="75" customFormat="1" hidden="1" outlineLevel="1" x14ac:dyDescent="0.25">
      <c r="A52" s="62"/>
      <c r="B52" s="88" t="s">
        <v>146</v>
      </c>
      <c r="C52" s="180" t="s">
        <v>0</v>
      </c>
      <c r="D52" s="47">
        <v>6.5</v>
      </c>
      <c r="E52" s="140"/>
      <c r="F52" s="140"/>
      <c r="G52" s="129"/>
      <c r="H52" s="129"/>
      <c r="I52" s="126">
        <f t="shared" ref="I52:I146" si="4">G52+H52</f>
        <v>0</v>
      </c>
      <c r="J52" s="74"/>
    </row>
    <row r="53" spans="1:10" s="75" customFormat="1" hidden="1" outlineLevel="1" x14ac:dyDescent="0.25">
      <c r="A53" s="62"/>
      <c r="B53" s="88" t="s">
        <v>197</v>
      </c>
      <c r="C53" s="180" t="s">
        <v>0</v>
      </c>
      <c r="D53" s="47">
        <v>6.5</v>
      </c>
      <c r="E53" s="140"/>
      <c r="F53" s="140"/>
      <c r="G53" s="129"/>
      <c r="H53" s="129"/>
      <c r="I53" s="126">
        <f t="shared" si="4"/>
        <v>0</v>
      </c>
      <c r="J53" s="74"/>
    </row>
    <row r="54" spans="1:10" s="75" customFormat="1" hidden="1" outlineLevel="1" x14ac:dyDescent="0.25">
      <c r="A54" s="62"/>
      <c r="B54" s="149" t="s">
        <v>205</v>
      </c>
      <c r="C54" s="180" t="s">
        <v>28</v>
      </c>
      <c r="D54" s="47">
        <v>1</v>
      </c>
      <c r="E54" s="175"/>
      <c r="F54" s="140"/>
      <c r="G54" s="129"/>
      <c r="H54" s="129"/>
      <c r="I54" s="126">
        <f t="shared" si="4"/>
        <v>0</v>
      </c>
      <c r="J54" s="74"/>
    </row>
    <row r="55" spans="1:10" s="75" customFormat="1" hidden="1" outlineLevel="1" x14ac:dyDescent="0.25">
      <c r="A55" s="62"/>
      <c r="B55" s="149" t="s">
        <v>206</v>
      </c>
      <c r="C55" s="180" t="s">
        <v>28</v>
      </c>
      <c r="D55" s="47">
        <v>1</v>
      </c>
      <c r="E55" s="175"/>
      <c r="F55" s="140"/>
      <c r="G55" s="129"/>
      <c r="H55" s="129"/>
      <c r="I55" s="126">
        <f t="shared" ref="I55" si="5">G55+H55</f>
        <v>0</v>
      </c>
      <c r="J55" s="74"/>
    </row>
    <row r="56" spans="1:10" s="84" customFormat="1" ht="27.75" hidden="1" customHeight="1" outlineLevel="1" x14ac:dyDescent="0.25">
      <c r="A56" s="62"/>
      <c r="B56" s="149" t="s">
        <v>207</v>
      </c>
      <c r="C56" s="180" t="s">
        <v>25</v>
      </c>
      <c r="D56" s="47">
        <v>46</v>
      </c>
      <c r="E56" s="175"/>
      <c r="F56" s="140"/>
      <c r="G56" s="129"/>
      <c r="H56" s="129"/>
      <c r="I56" s="126">
        <f t="shared" si="4"/>
        <v>0</v>
      </c>
      <c r="J56" s="83"/>
    </row>
    <row r="57" spans="1:10" s="84" customFormat="1" hidden="1" outlineLevel="1" x14ac:dyDescent="0.25">
      <c r="A57" s="62"/>
      <c r="B57" s="78" t="s">
        <v>68</v>
      </c>
      <c r="C57" s="212" t="s">
        <v>25</v>
      </c>
      <c r="D57" s="46">
        <v>48</v>
      </c>
      <c r="E57" s="141"/>
      <c r="F57" s="140"/>
      <c r="G57" s="129"/>
      <c r="H57" s="129"/>
      <c r="I57" s="126">
        <f t="shared" si="4"/>
        <v>0</v>
      </c>
      <c r="J57" s="83"/>
    </row>
    <row r="58" spans="1:10" s="84" customFormat="1" hidden="1" outlineLevel="1" x14ac:dyDescent="0.25">
      <c r="A58" s="96"/>
      <c r="B58" s="148" t="s">
        <v>148</v>
      </c>
      <c r="C58" s="180" t="s">
        <v>25</v>
      </c>
      <c r="D58" s="181">
        <f>D57</f>
        <v>48</v>
      </c>
      <c r="E58" s="141"/>
      <c r="F58" s="140"/>
      <c r="G58" s="129"/>
      <c r="H58" s="129"/>
      <c r="I58" s="126">
        <f t="shared" ref="I58" si="6">G58+H58</f>
        <v>0</v>
      </c>
      <c r="J58" s="83"/>
    </row>
    <row r="59" spans="1:10" s="84" customFormat="1" hidden="1" outlineLevel="1" x14ac:dyDescent="0.25">
      <c r="A59" s="62"/>
      <c r="B59" s="71" t="s">
        <v>149</v>
      </c>
      <c r="C59" s="180" t="s">
        <v>25</v>
      </c>
      <c r="D59" s="181">
        <f>D58</f>
        <v>48</v>
      </c>
      <c r="E59" s="141"/>
      <c r="F59" s="140"/>
      <c r="G59" s="129"/>
      <c r="H59" s="129"/>
      <c r="I59" s="126">
        <f t="shared" ref="I59" si="7">G59+H59</f>
        <v>0</v>
      </c>
      <c r="J59" s="83"/>
    </row>
    <row r="60" spans="1:10" s="75" customFormat="1" hidden="1" outlineLevel="1" x14ac:dyDescent="0.25">
      <c r="A60" s="32"/>
      <c r="B60" s="101" t="s">
        <v>72</v>
      </c>
      <c r="C60" s="189" t="s">
        <v>25</v>
      </c>
      <c r="D60" s="215">
        <v>34</v>
      </c>
      <c r="E60" s="140"/>
      <c r="F60" s="140"/>
      <c r="G60" s="129"/>
      <c r="H60" s="129"/>
      <c r="I60" s="126">
        <f t="shared" si="4"/>
        <v>0</v>
      </c>
      <c r="J60" s="74"/>
    </row>
    <row r="61" spans="1:10" s="75" customFormat="1" hidden="1" outlineLevel="1" x14ac:dyDescent="0.25">
      <c r="A61" s="62"/>
      <c r="B61" s="88" t="s">
        <v>145</v>
      </c>
      <c r="C61" s="180" t="s">
        <v>0</v>
      </c>
      <c r="D61" s="47">
        <v>6.5</v>
      </c>
      <c r="E61" s="140"/>
      <c r="F61" s="140"/>
      <c r="G61" s="129"/>
      <c r="H61" s="129"/>
      <c r="I61" s="126">
        <f t="shared" si="4"/>
        <v>0</v>
      </c>
      <c r="J61" s="74"/>
    </row>
    <row r="62" spans="1:10" s="75" customFormat="1" hidden="1" outlineLevel="1" x14ac:dyDescent="0.25">
      <c r="A62" s="62"/>
      <c r="B62" s="88" t="s">
        <v>146</v>
      </c>
      <c r="C62" s="180" t="s">
        <v>0</v>
      </c>
      <c r="D62" s="47">
        <v>6.5</v>
      </c>
      <c r="E62" s="140"/>
      <c r="F62" s="140"/>
      <c r="G62" s="129"/>
      <c r="H62" s="129"/>
      <c r="I62" s="126">
        <f t="shared" si="4"/>
        <v>0</v>
      </c>
      <c r="J62" s="74"/>
    </row>
    <row r="63" spans="1:10" s="75" customFormat="1" hidden="1" outlineLevel="1" x14ac:dyDescent="0.25">
      <c r="A63" s="62"/>
      <c r="B63" s="88" t="s">
        <v>197</v>
      </c>
      <c r="C63" s="180" t="s">
        <v>0</v>
      </c>
      <c r="D63" s="47">
        <v>6.5</v>
      </c>
      <c r="E63" s="140"/>
      <c r="F63" s="140"/>
      <c r="G63" s="129"/>
      <c r="H63" s="129"/>
      <c r="I63" s="126">
        <f t="shared" si="4"/>
        <v>0</v>
      </c>
      <c r="J63" s="74"/>
    </row>
    <row r="64" spans="1:10" s="75" customFormat="1" hidden="1" outlineLevel="1" x14ac:dyDescent="0.25">
      <c r="A64" s="62"/>
      <c r="B64" s="149" t="s">
        <v>205</v>
      </c>
      <c r="C64" s="180" t="s">
        <v>28</v>
      </c>
      <c r="D64" s="47">
        <v>1</v>
      </c>
      <c r="E64" s="175"/>
      <c r="F64" s="140"/>
      <c r="G64" s="129"/>
      <c r="H64" s="129"/>
      <c r="I64" s="126">
        <f t="shared" si="4"/>
        <v>0</v>
      </c>
      <c r="J64" s="74"/>
    </row>
    <row r="65" spans="1:10" s="75" customFormat="1" hidden="1" outlineLevel="1" x14ac:dyDescent="0.25">
      <c r="A65" s="62"/>
      <c r="B65" s="149" t="s">
        <v>206</v>
      </c>
      <c r="C65" s="180" t="s">
        <v>28</v>
      </c>
      <c r="D65" s="47">
        <v>1</v>
      </c>
      <c r="E65" s="175"/>
      <c r="F65" s="140"/>
      <c r="G65" s="129"/>
      <c r="H65" s="129"/>
      <c r="I65" s="126">
        <f t="shared" ref="I65" si="8">G65+H65</f>
        <v>0</v>
      </c>
      <c r="J65" s="74"/>
    </row>
    <row r="66" spans="1:10" s="84" customFormat="1" ht="30.75" hidden="1" customHeight="1" outlineLevel="1" x14ac:dyDescent="0.25">
      <c r="A66" s="62"/>
      <c r="B66" s="88" t="s">
        <v>208</v>
      </c>
      <c r="C66" s="180" t="s">
        <v>25</v>
      </c>
      <c r="D66" s="47">
        <v>34</v>
      </c>
      <c r="E66" s="175"/>
      <c r="F66" s="140"/>
      <c r="G66" s="129"/>
      <c r="H66" s="129"/>
      <c r="I66" s="126">
        <f t="shared" si="4"/>
        <v>0</v>
      </c>
      <c r="J66" s="83"/>
    </row>
    <row r="67" spans="1:10" s="84" customFormat="1" hidden="1" outlineLevel="1" x14ac:dyDescent="0.25">
      <c r="A67" s="62"/>
      <c r="B67" s="78" t="s">
        <v>69</v>
      </c>
      <c r="C67" s="212" t="s">
        <v>25</v>
      </c>
      <c r="D67" s="46">
        <v>36</v>
      </c>
      <c r="E67" s="141"/>
      <c r="F67" s="140"/>
      <c r="G67" s="129"/>
      <c r="H67" s="129"/>
      <c r="I67" s="126">
        <f t="shared" si="4"/>
        <v>0</v>
      </c>
      <c r="J67" s="83"/>
    </row>
    <row r="68" spans="1:10" s="84" customFormat="1" hidden="1" outlineLevel="1" x14ac:dyDescent="0.25">
      <c r="A68" s="96"/>
      <c r="B68" s="148" t="s">
        <v>148</v>
      </c>
      <c r="C68" s="180" t="s">
        <v>25</v>
      </c>
      <c r="D68" s="181">
        <f>D67</f>
        <v>36</v>
      </c>
      <c r="E68" s="141"/>
      <c r="F68" s="140"/>
      <c r="G68" s="129"/>
      <c r="H68" s="129"/>
      <c r="I68" s="126">
        <f t="shared" si="4"/>
        <v>0</v>
      </c>
      <c r="J68" s="83"/>
    </row>
    <row r="69" spans="1:10" s="84" customFormat="1" hidden="1" outlineLevel="1" x14ac:dyDescent="0.25">
      <c r="A69" s="62"/>
      <c r="B69" s="71" t="s">
        <v>149</v>
      </c>
      <c r="C69" s="180" t="s">
        <v>25</v>
      </c>
      <c r="D69" s="181">
        <f>D67</f>
        <v>36</v>
      </c>
      <c r="E69" s="141"/>
      <c r="F69" s="140"/>
      <c r="G69" s="129"/>
      <c r="H69" s="129"/>
      <c r="I69" s="126">
        <f t="shared" si="4"/>
        <v>0</v>
      </c>
      <c r="J69" s="83"/>
    </row>
    <row r="70" spans="1:10" s="84" customFormat="1" ht="13.5" hidden="1" outlineLevel="1" x14ac:dyDescent="0.25">
      <c r="A70" s="62"/>
      <c r="B70" s="101" t="s">
        <v>73</v>
      </c>
      <c r="C70" s="217" t="s">
        <v>25</v>
      </c>
      <c r="D70" s="216">
        <v>30</v>
      </c>
      <c r="E70" s="141"/>
      <c r="F70" s="140"/>
      <c r="G70" s="129"/>
      <c r="H70" s="129"/>
      <c r="I70" s="126">
        <f t="shared" si="4"/>
        <v>0</v>
      </c>
      <c r="J70" s="83"/>
    </row>
    <row r="71" spans="1:10" s="75" customFormat="1" hidden="1" outlineLevel="1" x14ac:dyDescent="0.25">
      <c r="A71" s="62"/>
      <c r="B71" s="88" t="s">
        <v>145</v>
      </c>
      <c r="C71" s="180" t="s">
        <v>0</v>
      </c>
      <c r="D71" s="47">
        <v>6.5</v>
      </c>
      <c r="E71" s="140"/>
      <c r="F71" s="140"/>
      <c r="G71" s="129"/>
      <c r="H71" s="129"/>
      <c r="I71" s="126">
        <f t="shared" si="4"/>
        <v>0</v>
      </c>
      <c r="J71" s="74"/>
    </row>
    <row r="72" spans="1:10" s="75" customFormat="1" hidden="1" outlineLevel="1" x14ac:dyDescent="0.25">
      <c r="A72" s="62"/>
      <c r="B72" s="88" t="s">
        <v>146</v>
      </c>
      <c r="C72" s="180" t="s">
        <v>0</v>
      </c>
      <c r="D72" s="47">
        <v>6.5</v>
      </c>
      <c r="E72" s="140"/>
      <c r="F72" s="140"/>
      <c r="G72" s="129"/>
      <c r="H72" s="129"/>
      <c r="I72" s="126">
        <f t="shared" si="4"/>
        <v>0</v>
      </c>
      <c r="J72" s="74"/>
    </row>
    <row r="73" spans="1:10" s="75" customFormat="1" hidden="1" outlineLevel="1" x14ac:dyDescent="0.25">
      <c r="A73" s="62"/>
      <c r="B73" s="88" t="s">
        <v>197</v>
      </c>
      <c r="C73" s="180" t="s">
        <v>0</v>
      </c>
      <c r="D73" s="47">
        <v>6.5</v>
      </c>
      <c r="E73" s="140"/>
      <c r="F73" s="140"/>
      <c r="G73" s="129"/>
      <c r="H73" s="129"/>
      <c r="I73" s="126">
        <f t="shared" si="4"/>
        <v>0</v>
      </c>
      <c r="J73" s="74"/>
    </row>
    <row r="74" spans="1:10" s="75" customFormat="1" hidden="1" outlineLevel="1" x14ac:dyDescent="0.25">
      <c r="A74" s="62"/>
      <c r="B74" s="149" t="s">
        <v>205</v>
      </c>
      <c r="C74" s="180" t="s">
        <v>28</v>
      </c>
      <c r="D74" s="47">
        <v>1</v>
      </c>
      <c r="E74" s="140"/>
      <c r="F74" s="140"/>
      <c r="G74" s="129"/>
      <c r="H74" s="129"/>
      <c r="I74" s="126">
        <f t="shared" si="4"/>
        <v>0</v>
      </c>
      <c r="J74" s="74"/>
    </row>
    <row r="75" spans="1:10" s="75" customFormat="1" hidden="1" outlineLevel="1" x14ac:dyDescent="0.25">
      <c r="A75" s="62"/>
      <c r="B75" s="149" t="s">
        <v>206</v>
      </c>
      <c r="C75" s="180" t="s">
        <v>28</v>
      </c>
      <c r="D75" s="47">
        <v>1</v>
      </c>
      <c r="E75" s="140"/>
      <c r="F75" s="140"/>
      <c r="G75" s="129"/>
      <c r="H75" s="129"/>
      <c r="I75" s="126">
        <f t="shared" ref="I75" si="9">G75+H75</f>
        <v>0</v>
      </c>
      <c r="J75" s="74"/>
    </row>
    <row r="76" spans="1:10" s="84" customFormat="1" ht="29.25" hidden="1" customHeight="1" outlineLevel="1" x14ac:dyDescent="0.25">
      <c r="A76" s="62"/>
      <c r="B76" s="88" t="s">
        <v>209</v>
      </c>
      <c r="C76" s="180" t="s">
        <v>25</v>
      </c>
      <c r="D76" s="47">
        <v>30</v>
      </c>
      <c r="E76" s="141"/>
      <c r="F76" s="140"/>
      <c r="G76" s="129"/>
      <c r="H76" s="129"/>
      <c r="I76" s="126">
        <f t="shared" si="4"/>
        <v>0</v>
      </c>
      <c r="J76" s="83"/>
    </row>
    <row r="77" spans="1:10" s="84" customFormat="1" hidden="1" outlineLevel="1" x14ac:dyDescent="0.25">
      <c r="A77" s="62"/>
      <c r="B77" s="78" t="s">
        <v>70</v>
      </c>
      <c r="C77" s="212" t="s">
        <v>25</v>
      </c>
      <c r="D77" s="46">
        <v>32</v>
      </c>
      <c r="E77" s="141"/>
      <c r="F77" s="140"/>
      <c r="G77" s="129"/>
      <c r="H77" s="129"/>
      <c r="I77" s="126">
        <f t="shared" si="4"/>
        <v>0</v>
      </c>
      <c r="J77" s="83"/>
    </row>
    <row r="78" spans="1:10" s="84" customFormat="1" hidden="1" outlineLevel="1" x14ac:dyDescent="0.25">
      <c r="A78" s="96"/>
      <c r="B78" s="148" t="s">
        <v>148</v>
      </c>
      <c r="C78" s="180" t="s">
        <v>25</v>
      </c>
      <c r="D78" s="181">
        <f>D77</f>
        <v>32</v>
      </c>
      <c r="E78" s="141"/>
      <c r="F78" s="140"/>
      <c r="G78" s="129"/>
      <c r="H78" s="129"/>
      <c r="I78" s="126">
        <f t="shared" ref="I78" si="10">G78+H78</f>
        <v>0</v>
      </c>
      <c r="J78" s="83"/>
    </row>
    <row r="79" spans="1:10" s="84" customFormat="1" hidden="1" outlineLevel="1" x14ac:dyDescent="0.25">
      <c r="A79" s="62"/>
      <c r="B79" s="71" t="s">
        <v>149</v>
      </c>
      <c r="C79" s="180" t="s">
        <v>25</v>
      </c>
      <c r="D79" s="181">
        <f>D77</f>
        <v>32</v>
      </c>
      <c r="E79" s="141"/>
      <c r="F79" s="140"/>
      <c r="G79" s="129"/>
      <c r="H79" s="129"/>
      <c r="I79" s="126">
        <f t="shared" ref="I79" si="11">G79+H79</f>
        <v>0</v>
      </c>
      <c r="J79" s="83"/>
    </row>
    <row r="80" spans="1:10" s="84" customFormat="1" hidden="1" outlineLevel="1" x14ac:dyDescent="0.25">
      <c r="A80" s="62"/>
      <c r="B80" s="101" t="s">
        <v>76</v>
      </c>
      <c r="C80" s="189" t="s">
        <v>25</v>
      </c>
      <c r="D80" s="216">
        <v>9</v>
      </c>
      <c r="E80" s="176"/>
      <c r="F80" s="140"/>
      <c r="G80" s="129"/>
      <c r="H80" s="129"/>
      <c r="I80" s="126">
        <f t="shared" si="4"/>
        <v>0</v>
      </c>
      <c r="J80" s="83"/>
    </row>
    <row r="81" spans="1:10" s="75" customFormat="1" hidden="1" outlineLevel="1" x14ac:dyDescent="0.25">
      <c r="A81" s="62"/>
      <c r="B81" s="88" t="s">
        <v>145</v>
      </c>
      <c r="C81" s="180" t="s">
        <v>0</v>
      </c>
      <c r="D81" s="47">
        <v>6.5</v>
      </c>
      <c r="E81" s="140"/>
      <c r="F81" s="140"/>
      <c r="G81" s="129"/>
      <c r="H81" s="129"/>
      <c r="I81" s="126">
        <f t="shared" si="4"/>
        <v>0</v>
      </c>
      <c r="J81" s="74"/>
    </row>
    <row r="82" spans="1:10" s="75" customFormat="1" hidden="1" outlineLevel="1" x14ac:dyDescent="0.25">
      <c r="A82" s="62"/>
      <c r="B82" s="88" t="s">
        <v>146</v>
      </c>
      <c r="C82" s="180" t="s">
        <v>0</v>
      </c>
      <c r="D82" s="47">
        <v>6.5</v>
      </c>
      <c r="E82" s="140"/>
      <c r="F82" s="140"/>
      <c r="G82" s="129"/>
      <c r="H82" s="129"/>
      <c r="I82" s="126">
        <f t="shared" si="4"/>
        <v>0</v>
      </c>
      <c r="J82" s="74"/>
    </row>
    <row r="83" spans="1:10" s="75" customFormat="1" hidden="1" outlineLevel="1" x14ac:dyDescent="0.25">
      <c r="A83" s="62"/>
      <c r="B83" s="88" t="s">
        <v>197</v>
      </c>
      <c r="C83" s="180" t="s">
        <v>0</v>
      </c>
      <c r="D83" s="47">
        <v>6.5</v>
      </c>
      <c r="E83" s="140"/>
      <c r="F83" s="140"/>
      <c r="G83" s="129"/>
      <c r="H83" s="129"/>
      <c r="I83" s="126">
        <f t="shared" si="4"/>
        <v>0</v>
      </c>
      <c r="J83" s="74"/>
    </row>
    <row r="84" spans="1:10" s="75" customFormat="1" hidden="1" outlineLevel="1" x14ac:dyDescent="0.25">
      <c r="A84" s="62"/>
      <c r="B84" s="149" t="s">
        <v>205</v>
      </c>
      <c r="C84" s="180" t="s">
        <v>28</v>
      </c>
      <c r="D84" s="47">
        <v>1</v>
      </c>
      <c r="E84" s="140"/>
      <c r="F84" s="140"/>
      <c r="G84" s="129"/>
      <c r="H84" s="129"/>
      <c r="I84" s="126">
        <f t="shared" si="4"/>
        <v>0</v>
      </c>
      <c r="J84" s="74"/>
    </row>
    <row r="85" spans="1:10" s="75" customFormat="1" hidden="1" outlineLevel="1" x14ac:dyDescent="0.25">
      <c r="A85" s="62"/>
      <c r="B85" s="149" t="s">
        <v>206</v>
      </c>
      <c r="C85" s="180" t="s">
        <v>28</v>
      </c>
      <c r="D85" s="47">
        <v>1</v>
      </c>
      <c r="E85" s="140"/>
      <c r="F85" s="140"/>
      <c r="G85" s="129"/>
      <c r="H85" s="129"/>
      <c r="I85" s="126">
        <f t="shared" ref="I85" si="12">G85+H85</f>
        <v>0</v>
      </c>
      <c r="J85" s="74"/>
    </row>
    <row r="86" spans="1:10" s="84" customFormat="1" ht="27" hidden="1" customHeight="1" outlineLevel="1" x14ac:dyDescent="0.25">
      <c r="A86" s="62"/>
      <c r="B86" s="88" t="s">
        <v>210</v>
      </c>
      <c r="C86" s="180" t="s">
        <v>25</v>
      </c>
      <c r="D86" s="47">
        <v>11</v>
      </c>
      <c r="E86" s="141"/>
      <c r="F86" s="140"/>
      <c r="G86" s="129"/>
      <c r="H86" s="129"/>
      <c r="I86" s="126">
        <f t="shared" si="4"/>
        <v>0</v>
      </c>
      <c r="J86" s="83"/>
    </row>
    <row r="87" spans="1:10" s="84" customFormat="1" hidden="1" outlineLevel="1" x14ac:dyDescent="0.25">
      <c r="A87" s="62"/>
      <c r="B87" s="78" t="s">
        <v>121</v>
      </c>
      <c r="C87" s="212" t="s">
        <v>25</v>
      </c>
      <c r="D87" s="46">
        <v>11</v>
      </c>
      <c r="E87" s="176"/>
      <c r="F87" s="140"/>
      <c r="G87" s="129"/>
      <c r="H87" s="129"/>
      <c r="I87" s="126">
        <f t="shared" si="4"/>
        <v>0</v>
      </c>
      <c r="J87" s="83"/>
    </row>
    <row r="88" spans="1:10" s="84" customFormat="1" hidden="1" outlineLevel="1" x14ac:dyDescent="0.25">
      <c r="A88" s="96"/>
      <c r="B88" s="148" t="s">
        <v>148</v>
      </c>
      <c r="C88" s="180" t="s">
        <v>25</v>
      </c>
      <c r="D88" s="181">
        <f>D87</f>
        <v>11</v>
      </c>
      <c r="E88" s="141"/>
      <c r="F88" s="140"/>
      <c r="G88" s="129"/>
      <c r="H88" s="129"/>
      <c r="I88" s="126">
        <f t="shared" si="4"/>
        <v>0</v>
      </c>
      <c r="J88" s="83"/>
    </row>
    <row r="89" spans="1:10" s="84" customFormat="1" hidden="1" outlineLevel="1" x14ac:dyDescent="0.25">
      <c r="A89" s="62"/>
      <c r="B89" s="71" t="s">
        <v>149</v>
      </c>
      <c r="C89" s="180" t="s">
        <v>25</v>
      </c>
      <c r="D89" s="181">
        <f>D87</f>
        <v>11</v>
      </c>
      <c r="E89" s="141"/>
      <c r="F89" s="140"/>
      <c r="G89" s="129"/>
      <c r="H89" s="129"/>
      <c r="I89" s="126">
        <f t="shared" si="4"/>
        <v>0</v>
      </c>
      <c r="J89" s="83"/>
    </row>
    <row r="90" spans="1:10" s="75" customFormat="1" collapsed="1" x14ac:dyDescent="0.25">
      <c r="A90" s="81" t="s">
        <v>44</v>
      </c>
      <c r="B90" s="121" t="s">
        <v>123</v>
      </c>
      <c r="C90" s="189" t="s">
        <v>25</v>
      </c>
      <c r="D90" s="215">
        <f>D91</f>
        <v>5</v>
      </c>
      <c r="E90" s="140">
        <f>G90/D90</f>
        <v>3076.9944000000005</v>
      </c>
      <c r="F90" s="173">
        <f>H90/D90</f>
        <v>3236.9975999999997</v>
      </c>
      <c r="G90" s="140">
        <f>(3242.95+9577.86)*1.2</f>
        <v>15384.972000000002</v>
      </c>
      <c r="H90" s="140">
        <f>31569.96-G90</f>
        <v>16184.987999999998</v>
      </c>
      <c r="I90" s="140">
        <f t="shared" si="4"/>
        <v>31569.96</v>
      </c>
      <c r="J90" s="74"/>
    </row>
    <row r="91" spans="1:10" s="75" customFormat="1" hidden="1" outlineLevel="1" x14ac:dyDescent="0.25">
      <c r="A91" s="81"/>
      <c r="B91" s="101" t="s">
        <v>74</v>
      </c>
      <c r="C91" s="189" t="s">
        <v>25</v>
      </c>
      <c r="D91" s="215">
        <f>D92</f>
        <v>5</v>
      </c>
      <c r="E91" s="140"/>
      <c r="F91" s="140"/>
      <c r="G91" s="129"/>
      <c r="H91" s="129"/>
      <c r="I91" s="126">
        <f t="shared" si="4"/>
        <v>0</v>
      </c>
      <c r="J91" s="74"/>
    </row>
    <row r="92" spans="1:10" s="75" customFormat="1" hidden="1" outlineLevel="1" x14ac:dyDescent="0.25">
      <c r="A92" s="87"/>
      <c r="B92" s="76" t="s">
        <v>150</v>
      </c>
      <c r="C92" s="180" t="s">
        <v>25</v>
      </c>
      <c r="D92" s="47">
        <v>5</v>
      </c>
      <c r="E92" s="140"/>
      <c r="F92" s="140"/>
      <c r="G92" s="129"/>
      <c r="H92" s="129"/>
      <c r="I92" s="126">
        <f t="shared" si="4"/>
        <v>0</v>
      </c>
      <c r="J92" s="74"/>
    </row>
    <row r="93" spans="1:10" s="84" customFormat="1" hidden="1" outlineLevel="1" x14ac:dyDescent="0.25">
      <c r="A93" s="72"/>
      <c r="B93" s="78" t="s">
        <v>71</v>
      </c>
      <c r="C93" s="212" t="s">
        <v>25</v>
      </c>
      <c r="D93" s="46">
        <v>5.04</v>
      </c>
      <c r="E93" s="141"/>
      <c r="F93" s="140"/>
      <c r="G93" s="129"/>
      <c r="H93" s="129"/>
      <c r="I93" s="126">
        <f t="shared" si="4"/>
        <v>0</v>
      </c>
      <c r="J93" s="83"/>
    </row>
    <row r="94" spans="1:10" s="84" customFormat="1" hidden="1" outlineLevel="1" x14ac:dyDescent="0.25">
      <c r="A94" s="72"/>
      <c r="B94" s="71" t="s">
        <v>94</v>
      </c>
      <c r="C94" s="180" t="s">
        <v>28</v>
      </c>
      <c r="D94" s="181">
        <v>11</v>
      </c>
      <c r="E94" s="141"/>
      <c r="F94" s="140"/>
      <c r="G94" s="129"/>
      <c r="H94" s="129"/>
      <c r="I94" s="126">
        <f t="shared" si="4"/>
        <v>0</v>
      </c>
      <c r="J94" s="83"/>
    </row>
    <row r="95" spans="1:10" s="84" customFormat="1" ht="13.5" hidden="1" outlineLevel="1" x14ac:dyDescent="0.25">
      <c r="A95" s="79"/>
      <c r="B95" s="109" t="s">
        <v>95</v>
      </c>
      <c r="C95" s="212" t="s">
        <v>28</v>
      </c>
      <c r="D95" s="55">
        <v>11</v>
      </c>
      <c r="E95" s="177"/>
      <c r="F95" s="178"/>
      <c r="G95" s="127"/>
      <c r="H95" s="127"/>
      <c r="I95" s="150">
        <f t="shared" si="4"/>
        <v>0</v>
      </c>
      <c r="J95" s="83"/>
    </row>
    <row r="96" spans="1:10" s="84" customFormat="1" hidden="1" outlineLevel="1" x14ac:dyDescent="0.25">
      <c r="A96" s="62"/>
      <c r="B96" s="71" t="s">
        <v>149</v>
      </c>
      <c r="C96" s="180" t="s">
        <v>25</v>
      </c>
      <c r="D96" s="181">
        <f>D92</f>
        <v>5</v>
      </c>
      <c r="E96" s="141"/>
      <c r="F96" s="140"/>
      <c r="G96" s="129"/>
      <c r="H96" s="129"/>
      <c r="I96" s="126">
        <f t="shared" ref="I96" si="13">G96+H96</f>
        <v>0</v>
      </c>
      <c r="J96" s="83"/>
    </row>
    <row r="97" spans="1:10" s="84" customFormat="1" collapsed="1" x14ac:dyDescent="0.25">
      <c r="A97" s="81" t="s">
        <v>107</v>
      </c>
      <c r="B97" s="82" t="s">
        <v>53</v>
      </c>
      <c r="C97" s="189" t="s">
        <v>111</v>
      </c>
      <c r="D97" s="218">
        <v>3</v>
      </c>
      <c r="E97" s="140">
        <f>G97/D97</f>
        <v>94102.040000000023</v>
      </c>
      <c r="F97" s="173">
        <f>H97/D97</f>
        <v>44235.603333333311</v>
      </c>
      <c r="G97" s="140">
        <f>(21385.08+16719.63+9205.02+980.02+3302.07+24172.22+201.31+105.66+10643.14+19149.24+19728.89+2413.92+6880.76+2454.2+1074.43+1462+3331.14+4235.85+9574.62+3272.26+1074.43+1462+28723.86+19728.89+6880.76+4090.33+2686.09+3655+6662.28)*1.2</f>
        <v>282306.12000000005</v>
      </c>
      <c r="H97" s="140">
        <f>415012.93-G97</f>
        <v>132706.80999999994</v>
      </c>
      <c r="I97" s="140">
        <f>G97+H97</f>
        <v>415012.93</v>
      </c>
      <c r="J97" s="136"/>
    </row>
    <row r="98" spans="1:10" s="84" customFormat="1" hidden="1" outlineLevel="1" x14ac:dyDescent="0.25">
      <c r="A98" s="81"/>
      <c r="B98" s="76" t="s">
        <v>162</v>
      </c>
      <c r="C98" s="180" t="s">
        <v>0</v>
      </c>
      <c r="D98" s="219">
        <f>(2*0.4+0.38+0.27+0.02)*3</f>
        <v>4.41</v>
      </c>
      <c r="E98" s="141"/>
      <c r="F98" s="140"/>
      <c r="G98" s="129"/>
      <c r="H98" s="129"/>
      <c r="I98" s="126"/>
      <c r="J98" s="136"/>
    </row>
    <row r="99" spans="1:10" s="84" customFormat="1" hidden="1" outlineLevel="1" x14ac:dyDescent="0.25">
      <c r="A99" s="72"/>
      <c r="B99" s="78" t="s">
        <v>55</v>
      </c>
      <c r="C99" s="212" t="s">
        <v>0</v>
      </c>
      <c r="D99" s="46">
        <f>6*0.4</f>
        <v>2.4000000000000004</v>
      </c>
      <c r="E99" s="141"/>
      <c r="F99" s="140"/>
      <c r="G99" s="129"/>
      <c r="H99" s="129"/>
      <c r="I99" s="126">
        <f>G99+H99</f>
        <v>0</v>
      </c>
      <c r="J99" s="83"/>
    </row>
    <row r="100" spans="1:10" s="84" customFormat="1" hidden="1" outlineLevel="1" x14ac:dyDescent="0.25">
      <c r="A100" s="72"/>
      <c r="B100" s="78" t="s">
        <v>54</v>
      </c>
      <c r="C100" s="212" t="s">
        <v>0</v>
      </c>
      <c r="D100" s="46">
        <f>0.38*3</f>
        <v>1.1400000000000001</v>
      </c>
      <c r="E100" s="141"/>
      <c r="F100" s="140"/>
      <c r="G100" s="129"/>
      <c r="H100" s="129"/>
      <c r="I100" s="126">
        <f t="shared" ref="I100" si="14">G100+H100</f>
        <v>0</v>
      </c>
      <c r="J100" s="83"/>
    </row>
    <row r="101" spans="1:10" s="84" customFormat="1" hidden="1" outlineLevel="1" x14ac:dyDescent="0.25">
      <c r="A101" s="72"/>
      <c r="B101" s="78" t="s">
        <v>56</v>
      </c>
      <c r="C101" s="212" t="s">
        <v>0</v>
      </c>
      <c r="D101" s="46">
        <f>0.27*3</f>
        <v>0.81</v>
      </c>
      <c r="E101" s="141"/>
      <c r="F101" s="140"/>
      <c r="G101" s="129"/>
      <c r="H101" s="129"/>
      <c r="I101" s="126">
        <f t="shared" ref="I101:I143" si="15">G101+H101</f>
        <v>0</v>
      </c>
      <c r="J101" s="83"/>
    </row>
    <row r="102" spans="1:10" s="84" customFormat="1" hidden="1" outlineLevel="1" x14ac:dyDescent="0.25">
      <c r="A102" s="72"/>
      <c r="B102" s="78" t="s">
        <v>57</v>
      </c>
      <c r="C102" s="212" t="s">
        <v>0</v>
      </c>
      <c r="D102" s="46">
        <f>0.02*3</f>
        <v>0.06</v>
      </c>
      <c r="E102" s="141"/>
      <c r="F102" s="140"/>
      <c r="G102" s="129"/>
      <c r="H102" s="129"/>
      <c r="I102" s="126">
        <f t="shared" si="15"/>
        <v>0</v>
      </c>
      <c r="J102" s="83"/>
    </row>
    <row r="103" spans="1:10" s="84" customFormat="1" hidden="1" outlineLevel="1" x14ac:dyDescent="0.25">
      <c r="A103" s="72"/>
      <c r="B103" s="78" t="s">
        <v>161</v>
      </c>
      <c r="C103" s="212" t="s">
        <v>29</v>
      </c>
      <c r="D103" s="46">
        <v>30</v>
      </c>
      <c r="E103" s="141"/>
      <c r="F103" s="140"/>
      <c r="G103" s="129"/>
      <c r="H103" s="129"/>
      <c r="I103" s="126">
        <f>G103+H103</f>
        <v>0</v>
      </c>
      <c r="J103" s="83"/>
    </row>
    <row r="104" spans="1:10" s="84" customFormat="1" hidden="1" outlineLevel="1" x14ac:dyDescent="0.25">
      <c r="A104" s="72"/>
      <c r="B104" s="78" t="s">
        <v>58</v>
      </c>
      <c r="C104" s="212" t="s">
        <v>28</v>
      </c>
      <c r="D104" s="220">
        <v>3</v>
      </c>
      <c r="E104" s="141"/>
      <c r="F104" s="140"/>
      <c r="G104" s="129"/>
      <c r="H104" s="129"/>
      <c r="I104" s="126">
        <f t="shared" si="15"/>
        <v>0</v>
      </c>
      <c r="J104" s="83"/>
    </row>
    <row r="105" spans="1:10" ht="13.5" hidden="1" outlineLevel="1" x14ac:dyDescent="0.25">
      <c r="A105" s="2"/>
      <c r="B105" s="70" t="s">
        <v>32</v>
      </c>
      <c r="C105" s="56" t="s">
        <v>10</v>
      </c>
      <c r="D105" s="43">
        <f>8.95*3</f>
        <v>26.849999999999998</v>
      </c>
      <c r="E105" s="140"/>
      <c r="F105" s="140"/>
      <c r="G105" s="129"/>
      <c r="H105" s="129"/>
      <c r="I105" s="126">
        <f>G105+H105</f>
        <v>0</v>
      </c>
      <c r="J105" s="65"/>
    </row>
    <row r="106" spans="1:10" ht="13.5" hidden="1" outlineLevel="1" x14ac:dyDescent="0.25">
      <c r="A106" s="2"/>
      <c r="B106" s="91" t="s">
        <v>163</v>
      </c>
      <c r="C106" s="221" t="s">
        <v>29</v>
      </c>
      <c r="D106" s="45">
        <v>64.44</v>
      </c>
      <c r="E106" s="140"/>
      <c r="F106" s="140"/>
      <c r="G106" s="129"/>
      <c r="H106" s="129"/>
      <c r="I106" s="126">
        <f>G106+H106</f>
        <v>0</v>
      </c>
      <c r="J106" s="65"/>
    </row>
    <row r="107" spans="1:10" ht="13.5" hidden="1" outlineLevel="1" x14ac:dyDescent="0.25">
      <c r="A107" s="2"/>
      <c r="B107" s="158" t="s">
        <v>167</v>
      </c>
      <c r="C107" s="221"/>
      <c r="D107" s="45"/>
      <c r="E107" s="140"/>
      <c r="F107" s="140"/>
      <c r="G107" s="129"/>
      <c r="H107" s="129"/>
      <c r="I107" s="126"/>
      <c r="J107" s="65"/>
    </row>
    <row r="108" spans="1:10" s="84" customFormat="1" hidden="1" outlineLevel="1" x14ac:dyDescent="0.25">
      <c r="A108" s="72"/>
      <c r="B108" s="76" t="s">
        <v>164</v>
      </c>
      <c r="C108" s="180" t="s">
        <v>28</v>
      </c>
      <c r="D108" s="222">
        <v>2</v>
      </c>
      <c r="E108" s="141"/>
      <c r="F108" s="140"/>
      <c r="G108" s="129"/>
      <c r="H108" s="129"/>
      <c r="I108" s="126">
        <f t="shared" ref="I108" si="16">G108+H108</f>
        <v>0</v>
      </c>
      <c r="J108" s="83"/>
    </row>
    <row r="109" spans="1:10" s="84" customFormat="1" hidden="1" outlineLevel="1" x14ac:dyDescent="0.25">
      <c r="A109" s="72"/>
      <c r="B109" s="86" t="s">
        <v>61</v>
      </c>
      <c r="C109" s="212" t="s">
        <v>28</v>
      </c>
      <c r="D109" s="220">
        <v>2</v>
      </c>
      <c r="E109" s="141"/>
      <c r="F109" s="140"/>
      <c r="G109" s="129"/>
      <c r="H109" s="129"/>
      <c r="I109" s="126">
        <f>G109+H109</f>
        <v>0</v>
      </c>
      <c r="J109" s="83"/>
    </row>
    <row r="110" spans="1:10" s="84" customFormat="1" hidden="1" outlineLevel="1" x14ac:dyDescent="0.25">
      <c r="A110" s="72"/>
      <c r="B110" s="76" t="s">
        <v>165</v>
      </c>
      <c r="C110" s="180" t="s">
        <v>29</v>
      </c>
      <c r="D110" s="181">
        <v>39.5</v>
      </c>
      <c r="E110" s="141"/>
      <c r="F110" s="140"/>
      <c r="G110" s="129"/>
      <c r="H110" s="129"/>
      <c r="I110" s="126">
        <f t="shared" si="15"/>
        <v>0</v>
      </c>
      <c r="J110" s="83"/>
    </row>
    <row r="111" spans="1:10" s="84" customFormat="1" hidden="1" outlineLevel="1" x14ac:dyDescent="0.25">
      <c r="A111" s="72"/>
      <c r="B111" s="86" t="s">
        <v>62</v>
      </c>
      <c r="C111" s="212" t="s">
        <v>28</v>
      </c>
      <c r="D111" s="220">
        <v>1</v>
      </c>
      <c r="E111" s="141"/>
      <c r="F111" s="140"/>
      <c r="G111" s="129"/>
      <c r="H111" s="129"/>
      <c r="I111" s="126">
        <f>G111+H111</f>
        <v>0</v>
      </c>
      <c r="J111" s="83"/>
    </row>
    <row r="112" spans="1:10" s="84" customFormat="1" hidden="1" outlineLevel="1" x14ac:dyDescent="0.25">
      <c r="A112" s="72"/>
      <c r="B112" s="76" t="s">
        <v>165</v>
      </c>
      <c r="C112" s="180" t="s">
        <v>29</v>
      </c>
      <c r="D112" s="181">
        <v>12.1</v>
      </c>
      <c r="E112" s="141"/>
      <c r="F112" s="140"/>
      <c r="G112" s="129"/>
      <c r="H112" s="129"/>
      <c r="I112" s="126">
        <f t="shared" ref="I112" si="17">G112+H112</f>
        <v>0</v>
      </c>
      <c r="J112" s="83"/>
    </row>
    <row r="113" spans="1:10" s="84" customFormat="1" hidden="1" outlineLevel="1" x14ac:dyDescent="0.25">
      <c r="A113" s="72"/>
      <c r="B113" s="86" t="s">
        <v>63</v>
      </c>
      <c r="C113" s="212" t="s">
        <v>28</v>
      </c>
      <c r="D113" s="220">
        <v>1</v>
      </c>
      <c r="E113" s="141"/>
      <c r="F113" s="140"/>
      <c r="G113" s="129"/>
      <c r="H113" s="129"/>
      <c r="I113" s="126">
        <f>G113+H113</f>
        <v>0</v>
      </c>
      <c r="J113" s="83"/>
    </row>
    <row r="114" spans="1:10" s="84" customFormat="1" hidden="1" outlineLevel="1" x14ac:dyDescent="0.25">
      <c r="A114" s="72"/>
      <c r="B114" s="76" t="s">
        <v>166</v>
      </c>
      <c r="C114" s="180" t="s">
        <v>28</v>
      </c>
      <c r="D114" s="222">
        <v>1</v>
      </c>
      <c r="E114" s="141"/>
      <c r="F114" s="140"/>
      <c r="G114" s="129"/>
      <c r="H114" s="129"/>
      <c r="I114" s="126">
        <f t="shared" ref="I114" si="18">G114+H114</f>
        <v>0</v>
      </c>
      <c r="J114" s="83"/>
    </row>
    <row r="115" spans="1:10" s="84" customFormat="1" hidden="1" outlineLevel="1" x14ac:dyDescent="0.25">
      <c r="A115" s="72"/>
      <c r="B115" s="86" t="s">
        <v>64</v>
      </c>
      <c r="C115" s="212" t="s">
        <v>28</v>
      </c>
      <c r="D115" s="220">
        <v>1</v>
      </c>
      <c r="E115" s="141"/>
      <c r="F115" s="140"/>
      <c r="G115" s="129"/>
      <c r="H115" s="129"/>
      <c r="I115" s="126">
        <f>G115+H115</f>
        <v>0</v>
      </c>
      <c r="J115" s="83"/>
    </row>
    <row r="116" spans="1:10" s="84" customFormat="1" hidden="1" outlineLevel="1" x14ac:dyDescent="0.25">
      <c r="A116" s="72"/>
      <c r="B116" s="76" t="s">
        <v>94</v>
      </c>
      <c r="C116" s="180" t="s">
        <v>28</v>
      </c>
      <c r="D116" s="222">
        <f>D117+D119</f>
        <v>5</v>
      </c>
      <c r="E116" s="141"/>
      <c r="F116" s="140"/>
      <c r="G116" s="129"/>
      <c r="H116" s="129"/>
      <c r="I116" s="126">
        <f t="shared" ref="I116" si="19">G116+H116</f>
        <v>0</v>
      </c>
      <c r="J116" s="83"/>
    </row>
    <row r="117" spans="1:10" s="84" customFormat="1" hidden="1" outlineLevel="1" x14ac:dyDescent="0.25">
      <c r="A117" s="72"/>
      <c r="B117" s="86" t="s">
        <v>168</v>
      </c>
      <c r="C117" s="212" t="s">
        <v>28</v>
      </c>
      <c r="D117" s="220">
        <v>3</v>
      </c>
      <c r="E117" s="141"/>
      <c r="F117" s="140"/>
      <c r="G117" s="129"/>
      <c r="H117" s="129"/>
      <c r="I117" s="126">
        <f t="shared" si="15"/>
        <v>0</v>
      </c>
      <c r="J117" s="83"/>
    </row>
    <row r="118" spans="1:10" s="84" customFormat="1" hidden="1" outlineLevel="1" x14ac:dyDescent="0.25">
      <c r="A118" s="72"/>
      <c r="B118" s="86" t="s">
        <v>59</v>
      </c>
      <c r="C118" s="212" t="s">
        <v>28</v>
      </c>
      <c r="D118" s="220">
        <v>2</v>
      </c>
      <c r="E118" s="141"/>
      <c r="F118" s="140"/>
      <c r="G118" s="129"/>
      <c r="H118" s="129"/>
      <c r="I118" s="126">
        <f t="shared" si="15"/>
        <v>0</v>
      </c>
      <c r="J118" s="83"/>
    </row>
    <row r="119" spans="1:10" s="84" customFormat="1" hidden="1" outlineLevel="1" x14ac:dyDescent="0.25">
      <c r="A119" s="72"/>
      <c r="B119" s="86" t="s">
        <v>65</v>
      </c>
      <c r="C119" s="212" t="s">
        <v>28</v>
      </c>
      <c r="D119" s="220">
        <v>2</v>
      </c>
      <c r="E119" s="141"/>
      <c r="F119" s="140"/>
      <c r="G119" s="129"/>
      <c r="H119" s="129"/>
      <c r="I119" s="126">
        <f>G119+H119</f>
        <v>0</v>
      </c>
      <c r="J119" s="83"/>
    </row>
    <row r="120" spans="1:10" s="84" customFormat="1" hidden="1" outlineLevel="1" x14ac:dyDescent="0.25">
      <c r="A120" s="72"/>
      <c r="B120" s="86" t="s">
        <v>60</v>
      </c>
      <c r="C120" s="212" t="s">
        <v>28</v>
      </c>
      <c r="D120" s="220">
        <v>2</v>
      </c>
      <c r="E120" s="141"/>
      <c r="F120" s="140"/>
      <c r="G120" s="129"/>
      <c r="H120" s="129"/>
      <c r="I120" s="126">
        <f>G120+H120</f>
        <v>0</v>
      </c>
      <c r="J120" s="83"/>
    </row>
    <row r="121" spans="1:10" ht="13.5" hidden="1" outlineLevel="1" x14ac:dyDescent="0.25">
      <c r="A121" s="2"/>
      <c r="B121" s="158" t="s">
        <v>169</v>
      </c>
      <c r="C121" s="221"/>
      <c r="D121" s="45"/>
      <c r="E121" s="140"/>
      <c r="F121" s="140"/>
      <c r="G121" s="129"/>
      <c r="H121" s="129"/>
      <c r="I121" s="126"/>
      <c r="J121" s="65"/>
    </row>
    <row r="122" spans="1:10" s="84" customFormat="1" hidden="1" outlineLevel="1" x14ac:dyDescent="0.25">
      <c r="A122" s="72"/>
      <c r="B122" s="76" t="s">
        <v>170</v>
      </c>
      <c r="C122" s="180" t="s">
        <v>28</v>
      </c>
      <c r="D122" s="222">
        <v>1</v>
      </c>
      <c r="E122" s="141"/>
      <c r="F122" s="140"/>
      <c r="G122" s="129"/>
      <c r="H122" s="129"/>
      <c r="I122" s="126">
        <f t="shared" ref="I122" si="20">G122+H122</f>
        <v>0</v>
      </c>
      <c r="J122" s="83"/>
    </row>
    <row r="123" spans="1:10" s="84" customFormat="1" hidden="1" outlineLevel="1" x14ac:dyDescent="0.25">
      <c r="A123" s="72"/>
      <c r="B123" s="86" t="s">
        <v>66</v>
      </c>
      <c r="C123" s="212" t="s">
        <v>28</v>
      </c>
      <c r="D123" s="220">
        <v>1</v>
      </c>
      <c r="E123" s="141"/>
      <c r="F123" s="140"/>
      <c r="G123" s="129"/>
      <c r="H123" s="129"/>
      <c r="I123" s="126">
        <f t="shared" si="15"/>
        <v>0</v>
      </c>
      <c r="J123" s="83"/>
    </row>
    <row r="124" spans="1:10" s="84" customFormat="1" hidden="1" outlineLevel="1" x14ac:dyDescent="0.25">
      <c r="A124" s="72"/>
      <c r="B124" s="76" t="s">
        <v>164</v>
      </c>
      <c r="C124" s="180" t="s">
        <v>28</v>
      </c>
      <c r="D124" s="222">
        <v>1</v>
      </c>
      <c r="E124" s="141"/>
      <c r="F124" s="140"/>
      <c r="G124" s="129"/>
      <c r="H124" s="129"/>
      <c r="I124" s="126">
        <f t="shared" si="15"/>
        <v>0</v>
      </c>
      <c r="J124" s="83"/>
    </row>
    <row r="125" spans="1:10" s="84" customFormat="1" hidden="1" outlineLevel="1" x14ac:dyDescent="0.25">
      <c r="A125" s="72"/>
      <c r="B125" s="86" t="s">
        <v>61</v>
      </c>
      <c r="C125" s="212" t="s">
        <v>28</v>
      </c>
      <c r="D125" s="220">
        <v>1</v>
      </c>
      <c r="E125" s="141"/>
      <c r="F125" s="140"/>
      <c r="G125" s="129"/>
      <c r="H125" s="129"/>
      <c r="I125" s="126">
        <f>G125+H125</f>
        <v>0</v>
      </c>
      <c r="J125" s="83"/>
    </row>
    <row r="126" spans="1:10" s="84" customFormat="1" hidden="1" outlineLevel="1" x14ac:dyDescent="0.25">
      <c r="A126" s="72"/>
      <c r="B126" s="76" t="s">
        <v>94</v>
      </c>
      <c r="C126" s="180" t="s">
        <v>28</v>
      </c>
      <c r="D126" s="222">
        <f>D127+D129</f>
        <v>6</v>
      </c>
      <c r="E126" s="141"/>
      <c r="F126" s="140"/>
      <c r="G126" s="129"/>
      <c r="H126" s="129"/>
      <c r="I126" s="126">
        <f t="shared" ref="I126:I128" si="21">G126+H126</f>
        <v>0</v>
      </c>
      <c r="J126" s="83"/>
    </row>
    <row r="127" spans="1:10" s="84" customFormat="1" hidden="1" outlineLevel="1" x14ac:dyDescent="0.25">
      <c r="A127" s="72"/>
      <c r="B127" s="86" t="s">
        <v>168</v>
      </c>
      <c r="C127" s="212" t="s">
        <v>28</v>
      </c>
      <c r="D127" s="220">
        <v>4</v>
      </c>
      <c r="E127" s="141"/>
      <c r="F127" s="140"/>
      <c r="G127" s="129"/>
      <c r="H127" s="129"/>
      <c r="I127" s="126">
        <f t="shared" si="21"/>
        <v>0</v>
      </c>
      <c r="J127" s="83"/>
    </row>
    <row r="128" spans="1:10" s="84" customFormat="1" hidden="1" outlineLevel="1" x14ac:dyDescent="0.25">
      <c r="A128" s="72"/>
      <c r="B128" s="86" t="s">
        <v>59</v>
      </c>
      <c r="C128" s="212" t="s">
        <v>28</v>
      </c>
      <c r="D128" s="220">
        <v>2</v>
      </c>
      <c r="E128" s="141"/>
      <c r="F128" s="140"/>
      <c r="G128" s="129"/>
      <c r="H128" s="129"/>
      <c r="I128" s="126">
        <f t="shared" si="21"/>
        <v>0</v>
      </c>
      <c r="J128" s="83"/>
    </row>
    <row r="129" spans="1:10" s="84" customFormat="1" hidden="1" outlineLevel="1" x14ac:dyDescent="0.25">
      <c r="A129" s="72"/>
      <c r="B129" s="86" t="s">
        <v>65</v>
      </c>
      <c r="C129" s="212" t="s">
        <v>28</v>
      </c>
      <c r="D129" s="220">
        <v>2</v>
      </c>
      <c r="E129" s="141"/>
      <c r="F129" s="140"/>
      <c r="G129" s="129"/>
      <c r="H129" s="129"/>
      <c r="I129" s="126">
        <f>G129+H129</f>
        <v>0</v>
      </c>
      <c r="J129" s="83"/>
    </row>
    <row r="130" spans="1:10" s="84" customFormat="1" hidden="1" outlineLevel="1" x14ac:dyDescent="0.25">
      <c r="A130" s="72"/>
      <c r="B130" s="86" t="s">
        <v>60</v>
      </c>
      <c r="C130" s="212" t="s">
        <v>28</v>
      </c>
      <c r="D130" s="220">
        <v>2</v>
      </c>
      <c r="E130" s="141"/>
      <c r="F130" s="140"/>
      <c r="G130" s="129"/>
      <c r="H130" s="129"/>
      <c r="I130" s="126">
        <f>G130+H130</f>
        <v>0</v>
      </c>
      <c r="J130" s="83"/>
    </row>
    <row r="131" spans="1:10" ht="13.5" hidden="1" outlineLevel="1" x14ac:dyDescent="0.25">
      <c r="A131" s="2"/>
      <c r="B131" s="158" t="s">
        <v>171</v>
      </c>
      <c r="C131" s="221"/>
      <c r="D131" s="45"/>
      <c r="E131" s="140"/>
      <c r="F131" s="140"/>
      <c r="G131" s="129"/>
      <c r="H131" s="129"/>
      <c r="I131" s="126"/>
      <c r="J131" s="65"/>
    </row>
    <row r="132" spans="1:10" s="84" customFormat="1" hidden="1" outlineLevel="1" x14ac:dyDescent="0.25">
      <c r="A132" s="72"/>
      <c r="B132" s="76" t="s">
        <v>164</v>
      </c>
      <c r="C132" s="180" t="s">
        <v>28</v>
      </c>
      <c r="D132" s="222">
        <v>3</v>
      </c>
      <c r="E132" s="141"/>
      <c r="F132" s="140"/>
      <c r="G132" s="129"/>
      <c r="H132" s="129"/>
      <c r="I132" s="126">
        <f t="shared" ref="I132" si="22">G132+H132</f>
        <v>0</v>
      </c>
      <c r="J132" s="83"/>
    </row>
    <row r="133" spans="1:10" s="84" customFormat="1" hidden="1" outlineLevel="1" x14ac:dyDescent="0.25">
      <c r="A133" s="72"/>
      <c r="B133" s="86" t="s">
        <v>61</v>
      </c>
      <c r="C133" s="212" t="s">
        <v>28</v>
      </c>
      <c r="D133" s="220">
        <v>3</v>
      </c>
      <c r="E133" s="141"/>
      <c r="F133" s="140"/>
      <c r="G133" s="129"/>
      <c r="H133" s="129"/>
      <c r="I133" s="126">
        <f>G133+H133</f>
        <v>0</v>
      </c>
      <c r="J133" s="83"/>
    </row>
    <row r="134" spans="1:10" s="84" customFormat="1" hidden="1" outlineLevel="1" x14ac:dyDescent="0.25">
      <c r="A134" s="72"/>
      <c r="B134" s="76" t="s">
        <v>165</v>
      </c>
      <c r="C134" s="180" t="s">
        <v>29</v>
      </c>
      <c r="D134" s="181">
        <v>39.5</v>
      </c>
      <c r="E134" s="141"/>
      <c r="F134" s="140"/>
      <c r="G134" s="129"/>
      <c r="H134" s="129"/>
      <c r="I134" s="126">
        <f t="shared" ref="I134" si="23">G134+H134</f>
        <v>0</v>
      </c>
      <c r="J134" s="83"/>
    </row>
    <row r="135" spans="1:10" s="84" customFormat="1" hidden="1" outlineLevel="1" x14ac:dyDescent="0.25">
      <c r="A135" s="72"/>
      <c r="B135" s="86" t="s">
        <v>62</v>
      </c>
      <c r="C135" s="212" t="s">
        <v>28</v>
      </c>
      <c r="D135" s="220">
        <v>1</v>
      </c>
      <c r="E135" s="141"/>
      <c r="F135" s="140"/>
      <c r="G135" s="129"/>
      <c r="H135" s="129"/>
      <c r="I135" s="126">
        <f>G135+H135</f>
        <v>0</v>
      </c>
      <c r="J135" s="83"/>
    </row>
    <row r="136" spans="1:10" s="84" customFormat="1" hidden="1" outlineLevel="1" x14ac:dyDescent="0.25">
      <c r="A136" s="72"/>
      <c r="B136" s="76" t="s">
        <v>166</v>
      </c>
      <c r="C136" s="180" t="s">
        <v>28</v>
      </c>
      <c r="D136" s="222">
        <v>1</v>
      </c>
      <c r="E136" s="141"/>
      <c r="F136" s="140"/>
      <c r="G136" s="129"/>
      <c r="H136" s="129"/>
      <c r="I136" s="126">
        <f t="shared" ref="I136" si="24">G136+H136</f>
        <v>0</v>
      </c>
      <c r="J136" s="83"/>
    </row>
    <row r="137" spans="1:10" s="84" customFormat="1" hidden="1" outlineLevel="1" x14ac:dyDescent="0.25">
      <c r="A137" s="72"/>
      <c r="B137" s="86" t="s">
        <v>64</v>
      </c>
      <c r="C137" s="212" t="s">
        <v>28</v>
      </c>
      <c r="D137" s="220">
        <v>1</v>
      </c>
      <c r="E137" s="141"/>
      <c r="F137" s="140"/>
      <c r="G137" s="129"/>
      <c r="H137" s="129"/>
      <c r="I137" s="126">
        <f>G137+H137</f>
        <v>0</v>
      </c>
      <c r="J137" s="83"/>
    </row>
    <row r="138" spans="1:10" s="84" customFormat="1" hidden="1" outlineLevel="1" x14ac:dyDescent="0.25">
      <c r="A138" s="72"/>
      <c r="B138" s="76" t="s">
        <v>94</v>
      </c>
      <c r="C138" s="180" t="s">
        <v>28</v>
      </c>
      <c r="D138" s="222">
        <f>D139+D141</f>
        <v>10</v>
      </c>
      <c r="E138" s="141"/>
      <c r="F138" s="140"/>
      <c r="G138" s="129"/>
      <c r="H138" s="129"/>
      <c r="I138" s="126">
        <f t="shared" ref="I138:I140" si="25">G138+H138</f>
        <v>0</v>
      </c>
      <c r="J138" s="83"/>
    </row>
    <row r="139" spans="1:10" s="84" customFormat="1" hidden="1" outlineLevel="1" x14ac:dyDescent="0.25">
      <c r="A139" s="72"/>
      <c r="B139" s="86" t="s">
        <v>168</v>
      </c>
      <c r="C139" s="212" t="s">
        <v>28</v>
      </c>
      <c r="D139" s="220">
        <v>5</v>
      </c>
      <c r="E139" s="141"/>
      <c r="F139" s="140"/>
      <c r="G139" s="129"/>
      <c r="H139" s="129"/>
      <c r="I139" s="126">
        <f t="shared" si="25"/>
        <v>0</v>
      </c>
      <c r="J139" s="83"/>
    </row>
    <row r="140" spans="1:10" s="84" customFormat="1" hidden="1" outlineLevel="1" x14ac:dyDescent="0.25">
      <c r="A140" s="72"/>
      <c r="B140" s="86" t="s">
        <v>59</v>
      </c>
      <c r="C140" s="212" t="s">
        <v>28</v>
      </c>
      <c r="D140" s="220">
        <v>5</v>
      </c>
      <c r="E140" s="141"/>
      <c r="F140" s="140"/>
      <c r="G140" s="129"/>
      <c r="H140" s="129"/>
      <c r="I140" s="126">
        <f t="shared" si="25"/>
        <v>0</v>
      </c>
      <c r="J140" s="83"/>
    </row>
    <row r="141" spans="1:10" s="84" customFormat="1" hidden="1" outlineLevel="1" x14ac:dyDescent="0.25">
      <c r="A141" s="72"/>
      <c r="B141" s="86" t="s">
        <v>65</v>
      </c>
      <c r="C141" s="212" t="s">
        <v>28</v>
      </c>
      <c r="D141" s="220">
        <v>5</v>
      </c>
      <c r="E141" s="141"/>
      <c r="F141" s="140"/>
      <c r="G141" s="129"/>
      <c r="H141" s="129"/>
      <c r="I141" s="126">
        <f>G141+H141</f>
        <v>0</v>
      </c>
      <c r="J141" s="83"/>
    </row>
    <row r="142" spans="1:10" s="84" customFormat="1" hidden="1" outlineLevel="1" x14ac:dyDescent="0.25">
      <c r="A142" s="72"/>
      <c r="B142" s="86" t="s">
        <v>60</v>
      </c>
      <c r="C142" s="212" t="s">
        <v>28</v>
      </c>
      <c r="D142" s="220">
        <v>2</v>
      </c>
      <c r="E142" s="141"/>
      <c r="F142" s="140"/>
      <c r="G142" s="129"/>
      <c r="H142" s="129"/>
      <c r="I142" s="126">
        <f>G142+H142</f>
        <v>0</v>
      </c>
      <c r="J142" s="83"/>
    </row>
    <row r="143" spans="1:10" s="84" customFormat="1" hidden="1" outlineLevel="1" x14ac:dyDescent="0.25">
      <c r="A143" s="72"/>
      <c r="B143" s="159" t="s">
        <v>94</v>
      </c>
      <c r="C143" s="180" t="s">
        <v>28</v>
      </c>
      <c r="D143" s="222">
        <f>D144</f>
        <v>2</v>
      </c>
      <c r="E143" s="141"/>
      <c r="F143" s="140"/>
      <c r="G143" s="129"/>
      <c r="H143" s="129"/>
      <c r="I143" s="126">
        <f t="shared" si="15"/>
        <v>0</v>
      </c>
      <c r="J143" s="83"/>
    </row>
    <row r="144" spans="1:10" s="84" customFormat="1" hidden="1" outlineLevel="1" x14ac:dyDescent="0.25">
      <c r="A144" s="72"/>
      <c r="B144" s="160" t="s">
        <v>67</v>
      </c>
      <c r="C144" s="212" t="s">
        <v>28</v>
      </c>
      <c r="D144" s="220">
        <v>2</v>
      </c>
      <c r="E144" s="141"/>
      <c r="F144" s="140"/>
      <c r="G144" s="129"/>
      <c r="H144" s="129"/>
      <c r="I144" s="126">
        <f>G144+H144</f>
        <v>0</v>
      </c>
      <c r="J144" s="83"/>
    </row>
    <row r="145" spans="1:10" s="84" customFormat="1" hidden="1" outlineLevel="1" x14ac:dyDescent="0.25">
      <c r="A145" s="72"/>
      <c r="B145" s="160" t="s">
        <v>60</v>
      </c>
      <c r="C145" s="212" t="s">
        <v>28</v>
      </c>
      <c r="D145" s="220">
        <v>3</v>
      </c>
      <c r="E145" s="141"/>
      <c r="F145" s="140"/>
      <c r="G145" s="129"/>
      <c r="H145" s="129"/>
      <c r="I145" s="126">
        <f>G145+H145</f>
        <v>0</v>
      </c>
      <c r="J145" s="83"/>
    </row>
    <row r="146" spans="1:10" s="84" customFormat="1" collapsed="1" x14ac:dyDescent="0.25">
      <c r="A146" s="102" t="s">
        <v>75</v>
      </c>
      <c r="B146" s="118" t="s">
        <v>106</v>
      </c>
      <c r="C146" s="189" t="s">
        <v>10</v>
      </c>
      <c r="D146" s="209">
        <f>D151</f>
        <v>24</v>
      </c>
      <c r="E146" s="140">
        <f>G146/D146</f>
        <v>3062.5805</v>
      </c>
      <c r="F146" s="173">
        <f>H146/D146</f>
        <v>1597.7394999999997</v>
      </c>
      <c r="G146" s="140">
        <f>(16655.55+17282.97+347.44+10210.29+5105.14+347.44+11302.78)*1.2</f>
        <v>73501.932000000001</v>
      </c>
      <c r="H146" s="140">
        <f>111847.68-G146</f>
        <v>38345.747999999992</v>
      </c>
      <c r="I146" s="140">
        <f t="shared" si="4"/>
        <v>111847.67999999999</v>
      </c>
      <c r="J146" s="83"/>
    </row>
    <row r="147" spans="1:10" customFormat="1" ht="15" hidden="1" outlineLevel="1" x14ac:dyDescent="0.25">
      <c r="A147" s="103"/>
      <c r="B147" s="71" t="s">
        <v>96</v>
      </c>
      <c r="C147" s="223" t="s">
        <v>0</v>
      </c>
      <c r="D147" s="224">
        <v>32.159999999999997</v>
      </c>
      <c r="E147" s="130"/>
      <c r="F147" s="131"/>
      <c r="G147" s="132"/>
      <c r="H147" s="133"/>
      <c r="I147" s="133"/>
      <c r="J147" s="117"/>
    </row>
    <row r="148" spans="1:10" customFormat="1" ht="15" hidden="1" outlineLevel="1" x14ac:dyDescent="0.25">
      <c r="A148" s="103"/>
      <c r="B148" s="71" t="s">
        <v>97</v>
      </c>
      <c r="C148" s="225" t="s">
        <v>0</v>
      </c>
      <c r="D148" s="226">
        <v>35.375999999999998</v>
      </c>
      <c r="E148" s="134"/>
      <c r="F148" s="131"/>
      <c r="G148" s="132"/>
      <c r="H148" s="133"/>
      <c r="I148" s="133"/>
      <c r="J148" s="117"/>
    </row>
    <row r="149" spans="1:10" customFormat="1" ht="15" hidden="1" outlineLevel="1" x14ac:dyDescent="0.25">
      <c r="A149" s="103"/>
      <c r="B149" s="71" t="s">
        <v>98</v>
      </c>
      <c r="C149" s="225" t="s">
        <v>0</v>
      </c>
      <c r="D149" s="227">
        <v>6</v>
      </c>
      <c r="E149" s="134"/>
      <c r="F149" s="131"/>
      <c r="G149" s="132"/>
      <c r="H149" s="133"/>
      <c r="I149" s="133"/>
      <c r="J149" s="117"/>
    </row>
    <row r="150" spans="1:10" s="157" customFormat="1" ht="25.5" hidden="1" outlineLevel="1" x14ac:dyDescent="0.25">
      <c r="A150" s="151"/>
      <c r="B150" s="109" t="s">
        <v>99</v>
      </c>
      <c r="C150" s="228" t="s">
        <v>0</v>
      </c>
      <c r="D150" s="229">
        <v>7.32</v>
      </c>
      <c r="E150" s="152"/>
      <c r="F150" s="153"/>
      <c r="G150" s="154"/>
      <c r="H150" s="155"/>
      <c r="I150" s="155"/>
      <c r="J150" s="156"/>
    </row>
    <row r="151" spans="1:10" customFormat="1" ht="25.5" hidden="1" outlineLevel="1" x14ac:dyDescent="0.25">
      <c r="A151" s="103"/>
      <c r="B151" s="71" t="s">
        <v>100</v>
      </c>
      <c r="C151" s="225" t="s">
        <v>10</v>
      </c>
      <c r="D151" s="230">
        <v>24</v>
      </c>
      <c r="E151" s="134"/>
      <c r="F151" s="131"/>
      <c r="G151" s="132"/>
      <c r="H151" s="133"/>
      <c r="I151" s="133"/>
      <c r="J151" s="117"/>
    </row>
    <row r="152" spans="1:10" s="157" customFormat="1" ht="15" hidden="1" outlineLevel="1" x14ac:dyDescent="0.25">
      <c r="A152" s="151"/>
      <c r="B152" s="109" t="s">
        <v>101</v>
      </c>
      <c r="C152" s="228" t="s">
        <v>102</v>
      </c>
      <c r="D152" s="231">
        <v>0.156</v>
      </c>
      <c r="E152" s="152"/>
      <c r="F152" s="153"/>
      <c r="G152" s="154"/>
      <c r="H152" s="155"/>
      <c r="I152" s="155"/>
      <c r="J152" s="156"/>
    </row>
    <row r="153" spans="1:10" s="157" customFormat="1" ht="15" hidden="1" outlineLevel="1" x14ac:dyDescent="0.25">
      <c r="A153" s="151"/>
      <c r="B153" s="109" t="s">
        <v>103</v>
      </c>
      <c r="C153" s="228" t="s">
        <v>102</v>
      </c>
      <c r="D153" s="232">
        <f>2.3232+1.1616</f>
        <v>3.4847999999999999</v>
      </c>
      <c r="E153" s="152"/>
      <c r="F153" s="153"/>
      <c r="G153" s="154"/>
      <c r="H153" s="155"/>
      <c r="I153" s="155"/>
      <c r="J153" s="156"/>
    </row>
    <row r="154" spans="1:10" customFormat="1" ht="26.25" hidden="1" customHeight="1" outlineLevel="1" x14ac:dyDescent="0.25">
      <c r="A154" s="103"/>
      <c r="B154" s="71" t="s">
        <v>104</v>
      </c>
      <c r="C154" s="225" t="s">
        <v>10</v>
      </c>
      <c r="D154" s="227">
        <v>24</v>
      </c>
      <c r="E154" s="134"/>
      <c r="F154" s="131"/>
      <c r="G154" s="132"/>
      <c r="H154" s="133"/>
      <c r="I154" s="133"/>
      <c r="J154" s="117"/>
    </row>
    <row r="155" spans="1:10" s="157" customFormat="1" ht="15" hidden="1" outlineLevel="1" x14ac:dyDescent="0.25">
      <c r="A155" s="151"/>
      <c r="B155" s="109" t="s">
        <v>101</v>
      </c>
      <c r="C155" s="228" t="s">
        <v>102</v>
      </c>
      <c r="D155" s="232">
        <v>1.5599999999999999E-2</v>
      </c>
      <c r="E155" s="152"/>
      <c r="F155" s="153"/>
      <c r="G155" s="154"/>
      <c r="H155" s="155"/>
      <c r="I155" s="155"/>
      <c r="J155" s="156"/>
    </row>
    <row r="156" spans="1:10" s="157" customFormat="1" ht="15" hidden="1" outlineLevel="1" x14ac:dyDescent="0.25">
      <c r="A156" s="151"/>
      <c r="B156" s="109" t="s">
        <v>105</v>
      </c>
      <c r="C156" s="228" t="s">
        <v>102</v>
      </c>
      <c r="D156" s="232">
        <v>2.3231999999999999</v>
      </c>
      <c r="E156" s="152"/>
      <c r="F156" s="153"/>
      <c r="G156" s="154"/>
      <c r="H156" s="155"/>
      <c r="I156" s="155"/>
      <c r="J156" s="156"/>
    </row>
    <row r="157" spans="1:10" s="20" customFormat="1" ht="13.5" x14ac:dyDescent="0.25">
      <c r="A157" s="28" t="s">
        <v>49</v>
      </c>
      <c r="B157" s="31" t="s">
        <v>116</v>
      </c>
      <c r="C157" s="37"/>
      <c r="D157" s="38"/>
      <c r="E157" s="135"/>
      <c r="F157" s="135"/>
      <c r="G157" s="135"/>
      <c r="H157" s="135"/>
      <c r="I157" s="135">
        <f>SUM(I158:I218)</f>
        <v>6345244.75</v>
      </c>
      <c r="J157" s="39"/>
    </row>
    <row r="158" spans="1:10" s="84" customFormat="1" collapsed="1" x14ac:dyDescent="0.25">
      <c r="A158" s="32" t="s">
        <v>13</v>
      </c>
      <c r="B158" s="93" t="s">
        <v>113</v>
      </c>
      <c r="C158" s="189" t="s">
        <v>0</v>
      </c>
      <c r="D158" s="216">
        <f>D159</f>
        <v>4.1640000000000006</v>
      </c>
      <c r="E158" s="140">
        <f>G158/D158</f>
        <v>0</v>
      </c>
      <c r="F158" s="173">
        <f>H158/D158</f>
        <v>3820.4154658981743</v>
      </c>
      <c r="G158" s="140">
        <v>0</v>
      </c>
      <c r="H158" s="140">
        <f>15908.21-G158</f>
        <v>15908.21</v>
      </c>
      <c r="I158" s="140">
        <f t="shared" ref="I158:I231" si="26">G158+H158</f>
        <v>15908.21</v>
      </c>
      <c r="J158" s="143"/>
    </row>
    <row r="159" spans="1:10" s="84" customFormat="1" hidden="1" outlineLevel="1" x14ac:dyDescent="0.25">
      <c r="A159" s="62"/>
      <c r="B159" s="33" t="s">
        <v>124</v>
      </c>
      <c r="C159" s="201" t="s">
        <v>0</v>
      </c>
      <c r="D159" s="219">
        <f>69.4*0.06</f>
        <v>4.1640000000000006</v>
      </c>
      <c r="E159" s="141"/>
      <c r="F159" s="140"/>
      <c r="G159" s="140"/>
      <c r="H159" s="140"/>
      <c r="I159" s="140">
        <f t="shared" si="26"/>
        <v>0</v>
      </c>
      <c r="J159" s="83"/>
    </row>
    <row r="160" spans="1:10" s="84" customFormat="1" hidden="1" outlineLevel="1" x14ac:dyDescent="0.2">
      <c r="A160" s="62"/>
      <c r="B160" s="66" t="s">
        <v>127</v>
      </c>
      <c r="C160" s="180" t="s">
        <v>22</v>
      </c>
      <c r="D160" s="233">
        <f>D159*1.9</f>
        <v>7.9116000000000009</v>
      </c>
      <c r="E160" s="141"/>
      <c r="F160" s="140"/>
      <c r="G160" s="140"/>
      <c r="H160" s="140"/>
      <c r="I160" s="140">
        <f t="shared" si="26"/>
        <v>0</v>
      </c>
      <c r="J160" s="83"/>
    </row>
    <row r="161" spans="1:10" s="84" customFormat="1" ht="12.75" hidden="1" customHeight="1" outlineLevel="1" x14ac:dyDescent="0.25">
      <c r="A161" s="62"/>
      <c r="B161" s="146" t="s">
        <v>128</v>
      </c>
      <c r="C161" s="180" t="s">
        <v>22</v>
      </c>
      <c r="D161" s="233">
        <f>D160</f>
        <v>7.9116000000000009</v>
      </c>
      <c r="E161" s="141"/>
      <c r="F161" s="140"/>
      <c r="G161" s="140"/>
      <c r="H161" s="140"/>
      <c r="I161" s="140">
        <f t="shared" si="26"/>
        <v>0</v>
      </c>
      <c r="J161" s="83"/>
    </row>
    <row r="162" spans="1:10" ht="13.5" collapsed="1" x14ac:dyDescent="0.25">
      <c r="A162" s="104" t="s">
        <v>17</v>
      </c>
      <c r="B162" s="89" t="s">
        <v>112</v>
      </c>
      <c r="C162" s="186" t="s">
        <v>0</v>
      </c>
      <c r="D162" s="125">
        <f>SUM(D165:D167)+D176</f>
        <v>293.83299999999997</v>
      </c>
      <c r="E162" s="140">
        <f>G162/D162</f>
        <v>536.38039294429143</v>
      </c>
      <c r="F162" s="173">
        <f>H162/D162</f>
        <v>731.5292019616586</v>
      </c>
      <c r="G162" s="140">
        <f>131338.55*1.2</f>
        <v>157606.25999999998</v>
      </c>
      <c r="H162" s="140">
        <f>372553.68-G162</f>
        <v>214947.42</v>
      </c>
      <c r="I162" s="140">
        <f t="shared" si="26"/>
        <v>372553.68</v>
      </c>
      <c r="J162" s="65"/>
    </row>
    <row r="163" spans="1:10" s="63" customFormat="1" hidden="1" outlineLevel="1" x14ac:dyDescent="0.25">
      <c r="A163" s="32"/>
      <c r="B163" s="42" t="s">
        <v>190</v>
      </c>
      <c r="C163" s="189"/>
      <c r="D163" s="209"/>
      <c r="E163" s="173"/>
      <c r="F163" s="173"/>
      <c r="G163" s="173"/>
      <c r="H163" s="173"/>
      <c r="I163" s="140"/>
      <c r="J163" s="32"/>
    </row>
    <row r="164" spans="1:10" ht="13.5" hidden="1" outlineLevel="1" x14ac:dyDescent="0.25">
      <c r="A164" s="104"/>
      <c r="B164" s="33" t="s">
        <v>134</v>
      </c>
      <c r="C164" s="234" t="s">
        <v>0</v>
      </c>
      <c r="D164" s="34">
        <v>18.75</v>
      </c>
      <c r="E164" s="140"/>
      <c r="F164" s="140"/>
      <c r="G164" s="140"/>
      <c r="H164" s="140"/>
      <c r="I164" s="140">
        <f t="shared" si="26"/>
        <v>0</v>
      </c>
      <c r="J164" s="65"/>
    </row>
    <row r="165" spans="1:10" ht="25.5" hidden="1" outlineLevel="1" x14ac:dyDescent="0.25">
      <c r="A165" s="104"/>
      <c r="B165" s="33" t="s">
        <v>135</v>
      </c>
      <c r="C165" s="234" t="s">
        <v>0</v>
      </c>
      <c r="D165" s="34">
        <v>18.75</v>
      </c>
      <c r="E165" s="140"/>
      <c r="F165" s="140"/>
      <c r="G165" s="140"/>
      <c r="H165" s="140"/>
      <c r="I165" s="140">
        <f t="shared" ref="I165" si="27">G165+H165</f>
        <v>0</v>
      </c>
      <c r="J165" s="65"/>
    </row>
    <row r="166" spans="1:10" s="63" customFormat="1" hidden="1" outlineLevel="1" x14ac:dyDescent="0.25">
      <c r="A166" s="32"/>
      <c r="B166" s="42" t="s">
        <v>152</v>
      </c>
      <c r="C166" s="189"/>
      <c r="D166" s="209"/>
      <c r="E166" s="173"/>
      <c r="F166" s="173"/>
      <c r="G166" s="173"/>
      <c r="H166" s="173"/>
      <c r="I166" s="140"/>
      <c r="J166" s="32"/>
    </row>
    <row r="167" spans="1:10" ht="25.5" hidden="1" outlineLevel="1" x14ac:dyDescent="0.25">
      <c r="A167" s="105"/>
      <c r="B167" s="73" t="s">
        <v>136</v>
      </c>
      <c r="C167" s="234" t="s">
        <v>0</v>
      </c>
      <c r="D167" s="34">
        <f>(296.67-18.8)*0.9</f>
        <v>250.083</v>
      </c>
      <c r="E167" s="140"/>
      <c r="F167" s="140"/>
      <c r="G167" s="140"/>
      <c r="H167" s="140"/>
      <c r="I167" s="140">
        <f t="shared" si="26"/>
        <v>0</v>
      </c>
      <c r="J167" s="65"/>
    </row>
    <row r="168" spans="1:10" ht="13.5" hidden="1" outlineLevel="1" x14ac:dyDescent="0.25">
      <c r="A168" s="105"/>
      <c r="B168" s="73" t="s">
        <v>137</v>
      </c>
      <c r="C168" s="234" t="s">
        <v>0</v>
      </c>
      <c r="D168" s="34">
        <f>(296.67-18.8)*0.1</f>
        <v>27.787000000000003</v>
      </c>
      <c r="E168" s="140"/>
      <c r="F168" s="140"/>
      <c r="G168" s="140"/>
      <c r="H168" s="140"/>
      <c r="I168" s="140">
        <f>G168+H168</f>
        <v>0</v>
      </c>
      <c r="J168" s="65"/>
    </row>
    <row r="169" spans="1:10" ht="13.5" hidden="1" outlineLevel="1" x14ac:dyDescent="0.25">
      <c r="A169" s="105"/>
      <c r="B169" s="76" t="s">
        <v>138</v>
      </c>
      <c r="C169" s="234" t="s">
        <v>22</v>
      </c>
      <c r="D169" s="43">
        <f>27.8*1.65</f>
        <v>45.87</v>
      </c>
      <c r="E169" s="140"/>
      <c r="F169" s="140"/>
      <c r="G169" s="140"/>
      <c r="H169" s="140"/>
      <c r="I169" s="140">
        <f t="shared" si="26"/>
        <v>0</v>
      </c>
      <c r="J169" s="65"/>
    </row>
    <row r="170" spans="1:10" ht="13.5" hidden="1" outlineLevel="1" x14ac:dyDescent="0.25">
      <c r="A170" s="105"/>
      <c r="B170" s="76" t="s">
        <v>139</v>
      </c>
      <c r="C170" s="234" t="s">
        <v>22</v>
      </c>
      <c r="D170" s="43">
        <f>D169</f>
        <v>45.87</v>
      </c>
      <c r="E170" s="140"/>
      <c r="F170" s="140"/>
      <c r="G170" s="140"/>
      <c r="H170" s="140"/>
      <c r="I170" s="140">
        <f t="shared" si="26"/>
        <v>0</v>
      </c>
      <c r="J170" s="65"/>
    </row>
    <row r="171" spans="1:10" ht="25.5" hidden="1" outlineLevel="1" x14ac:dyDescent="0.25">
      <c r="A171" s="105"/>
      <c r="B171" s="76" t="s">
        <v>140</v>
      </c>
      <c r="C171" s="234" t="s">
        <v>0</v>
      </c>
      <c r="D171" s="34">
        <f>(D168+D167-24.3)-5</f>
        <v>248.57</v>
      </c>
      <c r="E171" s="140"/>
      <c r="F171" s="140"/>
      <c r="G171" s="140"/>
      <c r="H171" s="140"/>
      <c r="I171" s="140">
        <f t="shared" si="26"/>
        <v>0</v>
      </c>
      <c r="J171" s="65"/>
    </row>
    <row r="172" spans="1:10" ht="13.5" hidden="1" outlineLevel="1" x14ac:dyDescent="0.25">
      <c r="A172" s="105"/>
      <c r="B172" s="76" t="s">
        <v>194</v>
      </c>
      <c r="C172" s="234" t="s">
        <v>0</v>
      </c>
      <c r="D172" s="43">
        <v>5</v>
      </c>
      <c r="E172" s="140"/>
      <c r="F172" s="140"/>
      <c r="G172" s="140"/>
      <c r="H172" s="140"/>
      <c r="I172" s="140">
        <f t="shared" si="26"/>
        <v>0</v>
      </c>
      <c r="J172" s="65"/>
    </row>
    <row r="173" spans="1:10" ht="13.5" hidden="1" outlineLevel="1" x14ac:dyDescent="0.25">
      <c r="A173" s="105"/>
      <c r="B173" s="91" t="s">
        <v>97</v>
      </c>
      <c r="C173" s="221" t="s">
        <v>0</v>
      </c>
      <c r="D173" s="45">
        <f>(0.2486*1000+0.05*100)*1.1</f>
        <v>278.96000000000004</v>
      </c>
      <c r="E173" s="140"/>
      <c r="F173" s="140"/>
      <c r="G173" s="140"/>
      <c r="H173" s="140"/>
      <c r="I173" s="140">
        <f t="shared" si="26"/>
        <v>0</v>
      </c>
      <c r="J173" s="65"/>
    </row>
    <row r="174" spans="1:10" ht="13.5" hidden="1" outlineLevel="1" x14ac:dyDescent="0.25">
      <c r="A174" s="105"/>
      <c r="B174" s="76" t="s">
        <v>193</v>
      </c>
      <c r="C174" s="234" t="s">
        <v>0</v>
      </c>
      <c r="D174" s="36">
        <f>(0.2486*1000)/100</f>
        <v>2.4859999999999998</v>
      </c>
      <c r="E174" s="140"/>
      <c r="F174" s="140"/>
      <c r="G174" s="140"/>
      <c r="H174" s="140"/>
      <c r="I174" s="140">
        <f t="shared" si="26"/>
        <v>0</v>
      </c>
      <c r="J174" s="65"/>
    </row>
    <row r="175" spans="1:10" s="63" customFormat="1" hidden="1" outlineLevel="1" x14ac:dyDescent="0.25">
      <c r="A175" s="32"/>
      <c r="B175" s="42" t="s">
        <v>191</v>
      </c>
      <c r="C175" s="189"/>
      <c r="D175" s="209"/>
      <c r="E175" s="173"/>
      <c r="F175" s="173"/>
      <c r="G175" s="173"/>
      <c r="H175" s="173"/>
      <c r="I175" s="140"/>
      <c r="J175" s="32"/>
    </row>
    <row r="176" spans="1:10" ht="13.5" hidden="1" outlineLevel="1" x14ac:dyDescent="0.25">
      <c r="A176" s="104"/>
      <c r="B176" s="107" t="s">
        <v>145</v>
      </c>
      <c r="C176" s="234" t="s">
        <v>0</v>
      </c>
      <c r="D176" s="43">
        <v>25</v>
      </c>
      <c r="E176" s="140"/>
      <c r="F176" s="140"/>
      <c r="G176" s="140"/>
      <c r="H176" s="140"/>
      <c r="I176" s="140">
        <f>G176+H176</f>
        <v>0</v>
      </c>
      <c r="J176" s="65"/>
    </row>
    <row r="177" spans="1:10" ht="13.5" hidden="1" outlineLevel="1" x14ac:dyDescent="0.25">
      <c r="A177" s="104"/>
      <c r="B177" s="88" t="s">
        <v>157</v>
      </c>
      <c r="C177" s="234" t="s">
        <v>0</v>
      </c>
      <c r="D177" s="43">
        <v>24.5</v>
      </c>
      <c r="E177" s="140"/>
      <c r="F177" s="140"/>
      <c r="G177" s="140"/>
      <c r="H177" s="140"/>
      <c r="I177" s="140">
        <f>G177+H177</f>
        <v>0</v>
      </c>
      <c r="J177" s="65"/>
    </row>
    <row r="178" spans="1:10" s="75" customFormat="1" hidden="1" outlineLevel="1" x14ac:dyDescent="0.25">
      <c r="A178" s="87"/>
      <c r="B178" s="76" t="s">
        <v>159</v>
      </c>
      <c r="C178" s="180" t="s">
        <v>0</v>
      </c>
      <c r="D178" s="47">
        <f>D177</f>
        <v>24.5</v>
      </c>
      <c r="E178" s="140"/>
      <c r="F178" s="140"/>
      <c r="G178" s="140"/>
      <c r="H178" s="140"/>
      <c r="I178" s="140">
        <f>G178+H178</f>
        <v>0</v>
      </c>
      <c r="J178" s="74"/>
    </row>
    <row r="179" spans="1:10" s="75" customFormat="1" hidden="1" outlineLevel="1" x14ac:dyDescent="0.25">
      <c r="A179" s="72"/>
      <c r="B179" s="76" t="s">
        <v>143</v>
      </c>
      <c r="C179" s="180" t="s">
        <v>10</v>
      </c>
      <c r="D179" s="47">
        <v>50</v>
      </c>
      <c r="E179" s="140"/>
      <c r="F179" s="140"/>
      <c r="G179" s="140"/>
      <c r="H179" s="140"/>
      <c r="I179" s="140">
        <f t="shared" ref="I179" si="28">G179+H179</f>
        <v>0</v>
      </c>
      <c r="J179" s="74"/>
    </row>
    <row r="180" spans="1:10" ht="13.5" collapsed="1" x14ac:dyDescent="0.25">
      <c r="A180" s="104" t="s">
        <v>18</v>
      </c>
      <c r="B180" s="89" t="s">
        <v>118</v>
      </c>
      <c r="C180" s="125" t="s">
        <v>114</v>
      </c>
      <c r="D180" s="125">
        <f>D181</f>
        <v>110</v>
      </c>
      <c r="E180" s="140">
        <f>G180/D180</f>
        <v>0</v>
      </c>
      <c r="F180" s="173">
        <f>H180/D180</f>
        <v>1369.944</v>
      </c>
      <c r="G180" s="140">
        <v>0</v>
      </c>
      <c r="H180" s="140">
        <v>150693.84</v>
      </c>
      <c r="I180" s="140">
        <f>G180+H180</f>
        <v>150693.84</v>
      </c>
      <c r="J180" s="65"/>
    </row>
    <row r="181" spans="1:10" ht="13.5" hidden="1" outlineLevel="1" x14ac:dyDescent="0.25">
      <c r="A181" s="104"/>
      <c r="B181" s="70" t="s">
        <v>119</v>
      </c>
      <c r="C181" s="34" t="s">
        <v>25</v>
      </c>
      <c r="D181" s="34">
        <v>110</v>
      </c>
      <c r="E181" s="178"/>
      <c r="F181" s="178"/>
      <c r="G181" s="178"/>
      <c r="H181" s="178"/>
      <c r="I181" s="178"/>
      <c r="J181" s="65"/>
    </row>
    <row r="182" spans="1:10" ht="13.5" hidden="1" outlineLevel="1" x14ac:dyDescent="0.25">
      <c r="A182" s="104"/>
      <c r="B182" s="71" t="s">
        <v>195</v>
      </c>
      <c r="C182" s="234" t="s">
        <v>22</v>
      </c>
      <c r="D182" s="36">
        <f>D181*24.3/1000</f>
        <v>2.673</v>
      </c>
      <c r="E182" s="178"/>
      <c r="F182" s="178"/>
      <c r="G182" s="178"/>
      <c r="H182" s="178"/>
      <c r="I182" s="178"/>
      <c r="J182" s="65"/>
    </row>
    <row r="183" spans="1:10" ht="13.5" hidden="1" outlineLevel="1" x14ac:dyDescent="0.25">
      <c r="A183" s="105"/>
      <c r="B183" s="71" t="s">
        <v>196</v>
      </c>
      <c r="C183" s="234" t="s">
        <v>22</v>
      </c>
      <c r="D183" s="36">
        <f>D181*24.3/1000</f>
        <v>2.673</v>
      </c>
      <c r="E183" s="178"/>
      <c r="F183" s="178"/>
      <c r="G183" s="178"/>
      <c r="H183" s="178"/>
      <c r="I183" s="178"/>
      <c r="J183" s="65"/>
    </row>
    <row r="184" spans="1:10" ht="13.5" collapsed="1" x14ac:dyDescent="0.25">
      <c r="A184" s="104" t="s">
        <v>44</v>
      </c>
      <c r="B184" s="89" t="s">
        <v>85</v>
      </c>
      <c r="C184" s="186" t="s">
        <v>114</v>
      </c>
      <c r="D184" s="125">
        <f>D185+D196</f>
        <v>115</v>
      </c>
      <c r="E184" s="140">
        <f>G184/D184</f>
        <v>23698.158365217394</v>
      </c>
      <c r="F184" s="173">
        <f>H184/D184</f>
        <v>13458.617634782608</v>
      </c>
      <c r="G184" s="140">
        <f>(82757.69+155665.13+647157.7+126057.07+28753.89+1084994.51+145687.52)*1.2</f>
        <v>2725288.2120000003</v>
      </c>
      <c r="H184" s="140">
        <f>4273029.24-G184</f>
        <v>1547741.0279999999</v>
      </c>
      <c r="I184" s="140">
        <f>G184+H184</f>
        <v>4273029.24</v>
      </c>
      <c r="J184" s="65"/>
    </row>
    <row r="185" spans="1:10" ht="25.5" hidden="1" outlineLevel="1" x14ac:dyDescent="0.25">
      <c r="A185" s="104" t="s">
        <v>109</v>
      </c>
      <c r="B185" s="100" t="s">
        <v>202</v>
      </c>
      <c r="C185" s="112" t="s">
        <v>30</v>
      </c>
      <c r="D185" s="113">
        <f>D191</f>
        <v>54</v>
      </c>
      <c r="E185" s="129"/>
      <c r="F185" s="129"/>
      <c r="G185" s="129"/>
      <c r="H185" s="129"/>
      <c r="I185" s="126">
        <f t="shared" ref="I185:I194" si="29">G185+H185</f>
        <v>0</v>
      </c>
      <c r="J185" s="65"/>
    </row>
    <row r="186" spans="1:10" ht="13.5" hidden="1" outlineLevel="1" x14ac:dyDescent="0.25">
      <c r="A186" s="105"/>
      <c r="B186" s="88" t="s">
        <v>145</v>
      </c>
      <c r="C186" s="234" t="s">
        <v>0</v>
      </c>
      <c r="D186" s="34">
        <v>6.5</v>
      </c>
      <c r="E186" s="129"/>
      <c r="F186" s="129"/>
      <c r="G186" s="129"/>
      <c r="H186" s="129"/>
      <c r="I186" s="126">
        <f t="shared" si="29"/>
        <v>0</v>
      </c>
      <c r="J186" s="65"/>
    </row>
    <row r="187" spans="1:10" ht="13.5" hidden="1" outlineLevel="1" x14ac:dyDescent="0.25">
      <c r="A187" s="105"/>
      <c r="B187" s="88" t="s">
        <v>146</v>
      </c>
      <c r="C187" s="234" t="s">
        <v>0</v>
      </c>
      <c r="D187" s="34">
        <v>6.5</v>
      </c>
      <c r="E187" s="129"/>
      <c r="F187" s="129"/>
      <c r="G187" s="129"/>
      <c r="H187" s="129"/>
      <c r="I187" s="126">
        <f t="shared" si="29"/>
        <v>0</v>
      </c>
      <c r="J187" s="65"/>
    </row>
    <row r="188" spans="1:10" ht="13.5" hidden="1" outlineLevel="1" x14ac:dyDescent="0.25">
      <c r="A188" s="105"/>
      <c r="B188" s="88" t="s">
        <v>197</v>
      </c>
      <c r="C188" s="234" t="s">
        <v>0</v>
      </c>
      <c r="D188" s="34">
        <v>6.5</v>
      </c>
      <c r="E188" s="129"/>
      <c r="F188" s="129"/>
      <c r="G188" s="129"/>
      <c r="H188" s="129"/>
      <c r="I188" s="126">
        <f t="shared" si="29"/>
        <v>0</v>
      </c>
      <c r="J188" s="65"/>
    </row>
    <row r="189" spans="1:10" ht="13.5" hidden="1" outlineLevel="1" x14ac:dyDescent="0.25">
      <c r="A189" s="105"/>
      <c r="B189" s="149" t="s">
        <v>205</v>
      </c>
      <c r="C189" s="234" t="s">
        <v>28</v>
      </c>
      <c r="D189" s="34">
        <v>1</v>
      </c>
      <c r="E189" s="129"/>
      <c r="F189" s="129"/>
      <c r="G189" s="129"/>
      <c r="H189" s="129"/>
      <c r="I189" s="126">
        <f t="shared" si="29"/>
        <v>0</v>
      </c>
      <c r="J189" s="65"/>
    </row>
    <row r="190" spans="1:10" ht="13.5" hidden="1" outlineLevel="1" x14ac:dyDescent="0.25">
      <c r="A190" s="105"/>
      <c r="B190" s="149" t="s">
        <v>206</v>
      </c>
      <c r="C190" s="234" t="s">
        <v>28</v>
      </c>
      <c r="D190" s="34">
        <v>1</v>
      </c>
      <c r="E190" s="129"/>
      <c r="F190" s="129"/>
      <c r="G190" s="129"/>
      <c r="H190" s="129"/>
      <c r="I190" s="126">
        <f t="shared" si="29"/>
        <v>0</v>
      </c>
      <c r="J190" s="65"/>
    </row>
    <row r="191" spans="1:10" ht="27.75" hidden="1" customHeight="1" outlineLevel="1" x14ac:dyDescent="0.25">
      <c r="A191" s="105"/>
      <c r="B191" s="70" t="s">
        <v>211</v>
      </c>
      <c r="C191" s="234" t="s">
        <v>25</v>
      </c>
      <c r="D191" s="34">
        <v>54</v>
      </c>
      <c r="E191" s="129"/>
      <c r="F191" s="129"/>
      <c r="G191" s="129"/>
      <c r="H191" s="129"/>
      <c r="I191" s="126">
        <f t="shared" si="29"/>
        <v>0</v>
      </c>
      <c r="J191" s="65"/>
    </row>
    <row r="192" spans="1:10" ht="13.5" hidden="1" outlineLevel="1" x14ac:dyDescent="0.25">
      <c r="A192" s="105"/>
      <c r="B192" s="91" t="s">
        <v>86</v>
      </c>
      <c r="C192" s="221" t="s">
        <v>25</v>
      </c>
      <c r="D192" s="235">
        <v>56</v>
      </c>
      <c r="E192" s="129"/>
      <c r="F192" s="129"/>
      <c r="G192" s="129"/>
      <c r="H192" s="129"/>
      <c r="I192" s="126">
        <f t="shared" si="29"/>
        <v>0</v>
      </c>
      <c r="J192" s="65"/>
    </row>
    <row r="193" spans="1:10" ht="13.5" hidden="1" customHeight="1" outlineLevel="1" x14ac:dyDescent="0.25">
      <c r="A193" s="105"/>
      <c r="B193" s="70" t="s">
        <v>200</v>
      </c>
      <c r="C193" s="234" t="s">
        <v>25</v>
      </c>
      <c r="D193" s="34">
        <f>D191</f>
        <v>54</v>
      </c>
      <c r="E193" s="129"/>
      <c r="F193" s="129"/>
      <c r="G193" s="129"/>
      <c r="H193" s="129"/>
      <c r="I193" s="126">
        <f t="shared" si="29"/>
        <v>0</v>
      </c>
      <c r="J193" s="65"/>
    </row>
    <row r="194" spans="1:10" ht="13.5" hidden="1" outlineLevel="1" x14ac:dyDescent="0.25">
      <c r="A194" s="105"/>
      <c r="B194" s="91" t="s">
        <v>199</v>
      </c>
      <c r="C194" s="221" t="s">
        <v>25</v>
      </c>
      <c r="D194" s="45">
        <v>54.5</v>
      </c>
      <c r="E194" s="129"/>
      <c r="F194" s="129"/>
      <c r="G194" s="129"/>
      <c r="H194" s="129"/>
      <c r="I194" s="126">
        <f t="shared" si="29"/>
        <v>0</v>
      </c>
      <c r="J194" s="65"/>
    </row>
    <row r="195" spans="1:10" ht="13.5" hidden="1" outlineLevel="1" x14ac:dyDescent="0.25">
      <c r="A195" s="105"/>
      <c r="B195" s="70" t="s">
        <v>201</v>
      </c>
      <c r="C195" s="221" t="s">
        <v>25</v>
      </c>
      <c r="D195" s="45">
        <f>D193</f>
        <v>54</v>
      </c>
      <c r="E195" s="129"/>
      <c r="F195" s="129"/>
      <c r="G195" s="129"/>
      <c r="H195" s="129"/>
      <c r="I195" s="126"/>
      <c r="J195" s="65"/>
    </row>
    <row r="196" spans="1:10" ht="26.25" hidden="1" customHeight="1" outlineLevel="1" x14ac:dyDescent="0.25">
      <c r="A196" s="104" t="s">
        <v>203</v>
      </c>
      <c r="B196" s="100" t="s">
        <v>204</v>
      </c>
      <c r="C196" s="112" t="s">
        <v>30</v>
      </c>
      <c r="D196" s="113">
        <f>D202</f>
        <v>61</v>
      </c>
      <c r="E196" s="129"/>
      <c r="F196" s="129"/>
      <c r="G196" s="129"/>
      <c r="H196" s="129"/>
      <c r="I196" s="126">
        <f t="shared" ref="I196:I217" si="30">G196+H196</f>
        <v>0</v>
      </c>
      <c r="J196" s="65"/>
    </row>
    <row r="197" spans="1:10" ht="13.5" hidden="1" outlineLevel="1" x14ac:dyDescent="0.25">
      <c r="A197" s="105"/>
      <c r="B197" s="88" t="s">
        <v>145</v>
      </c>
      <c r="C197" s="234" t="s">
        <v>0</v>
      </c>
      <c r="D197" s="34">
        <v>6.5</v>
      </c>
      <c r="E197" s="140"/>
      <c r="F197" s="140"/>
      <c r="G197" s="140"/>
      <c r="H197" s="140"/>
      <c r="I197" s="140">
        <f t="shared" si="30"/>
        <v>0</v>
      </c>
      <c r="J197" s="65"/>
    </row>
    <row r="198" spans="1:10" ht="13.5" hidden="1" outlineLevel="1" x14ac:dyDescent="0.25">
      <c r="A198" s="105"/>
      <c r="B198" s="88" t="s">
        <v>146</v>
      </c>
      <c r="C198" s="234" t="s">
        <v>0</v>
      </c>
      <c r="D198" s="34">
        <v>6.5</v>
      </c>
      <c r="E198" s="140"/>
      <c r="F198" s="140"/>
      <c r="G198" s="140"/>
      <c r="H198" s="140"/>
      <c r="I198" s="140">
        <f t="shared" si="30"/>
        <v>0</v>
      </c>
      <c r="J198" s="65"/>
    </row>
    <row r="199" spans="1:10" ht="13.5" hidden="1" outlineLevel="1" x14ac:dyDescent="0.25">
      <c r="A199" s="105"/>
      <c r="B199" s="88" t="s">
        <v>197</v>
      </c>
      <c r="C199" s="234" t="s">
        <v>0</v>
      </c>
      <c r="D199" s="34">
        <v>6.5</v>
      </c>
      <c r="E199" s="140"/>
      <c r="F199" s="140"/>
      <c r="G199" s="140"/>
      <c r="H199" s="140"/>
      <c r="I199" s="140">
        <f t="shared" si="30"/>
        <v>0</v>
      </c>
      <c r="J199" s="65"/>
    </row>
    <row r="200" spans="1:10" ht="13.5" hidden="1" outlineLevel="1" x14ac:dyDescent="0.25">
      <c r="A200" s="105"/>
      <c r="B200" s="149" t="s">
        <v>205</v>
      </c>
      <c r="C200" s="234" t="s">
        <v>28</v>
      </c>
      <c r="D200" s="34">
        <v>1</v>
      </c>
      <c r="E200" s="140"/>
      <c r="F200" s="140"/>
      <c r="G200" s="140"/>
      <c r="H200" s="140"/>
      <c r="I200" s="140">
        <f t="shared" si="30"/>
        <v>0</v>
      </c>
      <c r="J200" s="65"/>
    </row>
    <row r="201" spans="1:10" ht="13.5" hidden="1" outlineLevel="1" x14ac:dyDescent="0.25">
      <c r="A201" s="105"/>
      <c r="B201" s="149" t="s">
        <v>206</v>
      </c>
      <c r="C201" s="234" t="s">
        <v>28</v>
      </c>
      <c r="D201" s="34">
        <v>1</v>
      </c>
      <c r="E201" s="140"/>
      <c r="F201" s="140"/>
      <c r="G201" s="140"/>
      <c r="H201" s="140"/>
      <c r="I201" s="140">
        <f t="shared" ref="I201" si="31">G201+H201</f>
        <v>0</v>
      </c>
      <c r="J201" s="65"/>
    </row>
    <row r="202" spans="1:10" ht="25.5" hidden="1" outlineLevel="1" x14ac:dyDescent="0.25">
      <c r="A202" s="105"/>
      <c r="B202" s="70" t="s">
        <v>212</v>
      </c>
      <c r="C202" s="234" t="s">
        <v>25</v>
      </c>
      <c r="D202" s="34">
        <v>61</v>
      </c>
      <c r="E202" s="140"/>
      <c r="F202" s="140"/>
      <c r="G202" s="140"/>
      <c r="H202" s="140"/>
      <c r="I202" s="140">
        <f t="shared" si="30"/>
        <v>0</v>
      </c>
      <c r="J202" s="65"/>
    </row>
    <row r="203" spans="1:10" ht="13.5" hidden="1" outlineLevel="1" x14ac:dyDescent="0.25">
      <c r="A203" s="105"/>
      <c r="B203" s="91" t="s">
        <v>87</v>
      </c>
      <c r="C203" s="221" t="s">
        <v>25</v>
      </c>
      <c r="D203" s="45">
        <v>63</v>
      </c>
      <c r="E203" s="140"/>
      <c r="F203" s="140"/>
      <c r="G203" s="140"/>
      <c r="H203" s="140"/>
      <c r="I203" s="140">
        <f t="shared" si="30"/>
        <v>0</v>
      </c>
      <c r="J203" s="65"/>
    </row>
    <row r="204" spans="1:10" ht="13.5" hidden="1" outlineLevel="1" x14ac:dyDescent="0.25">
      <c r="A204" s="105"/>
      <c r="B204" s="70" t="s">
        <v>201</v>
      </c>
      <c r="C204" s="221" t="s">
        <v>25</v>
      </c>
      <c r="D204" s="45">
        <f>D202</f>
        <v>61</v>
      </c>
      <c r="E204" s="140"/>
      <c r="F204" s="140"/>
      <c r="G204" s="140"/>
      <c r="H204" s="140"/>
      <c r="I204" s="140"/>
      <c r="J204" s="65"/>
    </row>
    <row r="205" spans="1:10" ht="27.75" customHeight="1" collapsed="1" x14ac:dyDescent="0.25">
      <c r="A205" s="104" t="s">
        <v>107</v>
      </c>
      <c r="B205" s="41" t="s">
        <v>88</v>
      </c>
      <c r="C205" s="186" t="s">
        <v>30</v>
      </c>
      <c r="D205" s="187">
        <f>D206+D213+D210</f>
        <v>25</v>
      </c>
      <c r="E205" s="140">
        <f>G205/D205</f>
        <v>32754.843359999995</v>
      </c>
      <c r="F205" s="173">
        <f>H205/D205</f>
        <v>1181.2406400000025</v>
      </c>
      <c r="G205" s="140">
        <f>(30347.07+23343.9+7003.17+8650.2+51026.37+562021.86)*1.2</f>
        <v>818871.08399999992</v>
      </c>
      <c r="H205" s="140">
        <f>848402.1-G205</f>
        <v>29531.016000000061</v>
      </c>
      <c r="I205" s="140">
        <f t="shared" si="30"/>
        <v>848402.1</v>
      </c>
      <c r="J205" s="65"/>
    </row>
    <row r="206" spans="1:10" ht="13.5" hidden="1" outlineLevel="1" x14ac:dyDescent="0.25">
      <c r="A206" s="105"/>
      <c r="B206" s="70" t="s">
        <v>213</v>
      </c>
      <c r="C206" s="234" t="s">
        <v>30</v>
      </c>
      <c r="D206" s="43">
        <v>13</v>
      </c>
      <c r="E206" s="140"/>
      <c r="F206" s="140"/>
      <c r="G206" s="140"/>
      <c r="H206" s="140"/>
      <c r="I206" s="140">
        <f t="shared" si="30"/>
        <v>0</v>
      </c>
      <c r="J206" s="65"/>
    </row>
    <row r="207" spans="1:10" ht="13.5" hidden="1" outlineLevel="1" x14ac:dyDescent="0.25">
      <c r="A207" s="105"/>
      <c r="B207" s="91" t="s">
        <v>77</v>
      </c>
      <c r="C207" s="221" t="s">
        <v>30</v>
      </c>
      <c r="D207" s="45">
        <f>D206*1.01</f>
        <v>13.13</v>
      </c>
      <c r="E207" s="140"/>
      <c r="F207" s="140"/>
      <c r="G207" s="140"/>
      <c r="H207" s="140"/>
      <c r="I207" s="140">
        <f t="shared" si="30"/>
        <v>0</v>
      </c>
      <c r="J207" s="65"/>
    </row>
    <row r="208" spans="1:10" ht="13.5" hidden="1" outlineLevel="1" x14ac:dyDescent="0.25">
      <c r="A208" s="105"/>
      <c r="B208" s="70" t="s">
        <v>217</v>
      </c>
      <c r="C208" s="234" t="s">
        <v>30</v>
      </c>
      <c r="D208" s="43">
        <v>2</v>
      </c>
      <c r="E208" s="140"/>
      <c r="F208" s="140"/>
      <c r="G208" s="140"/>
      <c r="H208" s="140"/>
      <c r="I208" s="140"/>
      <c r="J208" s="65"/>
    </row>
    <row r="209" spans="1:10" ht="13.5" hidden="1" outlineLevel="1" x14ac:dyDescent="0.25">
      <c r="A209" s="105"/>
      <c r="B209" s="167" t="s">
        <v>215</v>
      </c>
      <c r="C209" s="221" t="s">
        <v>30</v>
      </c>
      <c r="D209" s="45">
        <f>D208*1.01</f>
        <v>2.02</v>
      </c>
      <c r="E209" s="140"/>
      <c r="F209" s="140"/>
      <c r="G209" s="140"/>
      <c r="H209" s="140"/>
      <c r="I209" s="140">
        <f>G209+H209</f>
        <v>0</v>
      </c>
      <c r="J209" s="65"/>
    </row>
    <row r="210" spans="1:10" ht="13.5" hidden="1" outlineLevel="1" x14ac:dyDescent="0.25">
      <c r="A210" s="105"/>
      <c r="B210" s="170" t="s">
        <v>218</v>
      </c>
      <c r="C210" s="234" t="s">
        <v>30</v>
      </c>
      <c r="D210" s="43">
        <v>3</v>
      </c>
      <c r="E210" s="140"/>
      <c r="F210" s="140"/>
      <c r="G210" s="140"/>
      <c r="H210" s="140"/>
      <c r="I210" s="140">
        <f t="shared" ref="I210:I211" si="32">G210+H210</f>
        <v>0</v>
      </c>
      <c r="J210" s="65"/>
    </row>
    <row r="211" spans="1:10" ht="13.5" hidden="1" outlineLevel="1" x14ac:dyDescent="0.25">
      <c r="A211" s="105"/>
      <c r="B211" s="167" t="s">
        <v>77</v>
      </c>
      <c r="C211" s="221" t="s">
        <v>30</v>
      </c>
      <c r="D211" s="45">
        <f>D210*1.01</f>
        <v>3.0300000000000002</v>
      </c>
      <c r="E211" s="140"/>
      <c r="F211" s="140"/>
      <c r="G211" s="140"/>
      <c r="H211" s="140"/>
      <c r="I211" s="140">
        <f t="shared" si="32"/>
        <v>0</v>
      </c>
      <c r="J211" s="65"/>
    </row>
    <row r="212" spans="1:10" ht="13.5" hidden="1" outlineLevel="1" x14ac:dyDescent="0.25">
      <c r="A212" s="105"/>
      <c r="B212" s="170" t="s">
        <v>31</v>
      </c>
      <c r="C212" s="234" t="s">
        <v>25</v>
      </c>
      <c r="D212" s="43">
        <f>D210</f>
        <v>3</v>
      </c>
      <c r="E212" s="140"/>
      <c r="F212" s="140"/>
      <c r="G212" s="140"/>
      <c r="H212" s="140"/>
      <c r="I212" s="140">
        <f>G212+H212</f>
        <v>0</v>
      </c>
      <c r="J212" s="65"/>
    </row>
    <row r="213" spans="1:10" ht="13.5" hidden="1" outlineLevel="1" x14ac:dyDescent="0.25">
      <c r="A213" s="105"/>
      <c r="B213" s="70" t="s">
        <v>214</v>
      </c>
      <c r="C213" s="234" t="s">
        <v>30</v>
      </c>
      <c r="D213" s="43">
        <v>9</v>
      </c>
      <c r="E213" s="140"/>
      <c r="F213" s="140"/>
      <c r="G213" s="140"/>
      <c r="H213" s="140"/>
      <c r="I213" s="140">
        <f t="shared" si="30"/>
        <v>0</v>
      </c>
      <c r="J213" s="65"/>
    </row>
    <row r="214" spans="1:10" ht="13.5" hidden="1" outlineLevel="1" x14ac:dyDescent="0.25">
      <c r="A214" s="105"/>
      <c r="B214" s="91" t="s">
        <v>89</v>
      </c>
      <c r="C214" s="221" t="s">
        <v>30</v>
      </c>
      <c r="D214" s="45">
        <f>9*1.01</f>
        <v>9.09</v>
      </c>
      <c r="E214" s="140"/>
      <c r="F214" s="140"/>
      <c r="G214" s="140"/>
      <c r="H214" s="140"/>
      <c r="I214" s="140">
        <f t="shared" si="30"/>
        <v>0</v>
      </c>
      <c r="J214" s="65"/>
    </row>
    <row r="215" spans="1:10" ht="13.5" hidden="1" outlineLevel="1" x14ac:dyDescent="0.25">
      <c r="A215" s="105"/>
      <c r="B215" s="70" t="s">
        <v>216</v>
      </c>
      <c r="C215" s="234" t="s">
        <v>28</v>
      </c>
      <c r="D215" s="47">
        <f>D216+D217</f>
        <v>25</v>
      </c>
      <c r="E215" s="140"/>
      <c r="F215" s="140"/>
      <c r="G215" s="140"/>
      <c r="H215" s="140"/>
      <c r="I215" s="140">
        <f t="shared" si="30"/>
        <v>0</v>
      </c>
      <c r="J215" s="65"/>
    </row>
    <row r="216" spans="1:10" ht="13.5" hidden="1" outlineLevel="1" x14ac:dyDescent="0.25">
      <c r="A216" s="105"/>
      <c r="B216" s="91" t="s">
        <v>78</v>
      </c>
      <c r="C216" s="221" t="s">
        <v>28</v>
      </c>
      <c r="D216" s="45">
        <v>14</v>
      </c>
      <c r="E216" s="140"/>
      <c r="F216" s="140"/>
      <c r="G216" s="140"/>
      <c r="H216" s="140"/>
      <c r="I216" s="140">
        <f t="shared" si="30"/>
        <v>0</v>
      </c>
      <c r="J216" s="65"/>
    </row>
    <row r="217" spans="1:10" ht="13.5" hidden="1" outlineLevel="1" x14ac:dyDescent="0.25">
      <c r="A217" s="105"/>
      <c r="B217" s="91" t="s">
        <v>79</v>
      </c>
      <c r="C217" s="221" t="s">
        <v>28</v>
      </c>
      <c r="D217" s="45">
        <v>11</v>
      </c>
      <c r="E217" s="140"/>
      <c r="F217" s="140"/>
      <c r="G217" s="140"/>
      <c r="H217" s="140"/>
      <c r="I217" s="140">
        <f t="shared" si="30"/>
        <v>0</v>
      </c>
      <c r="J217" s="65"/>
    </row>
    <row r="218" spans="1:10" ht="13.5" collapsed="1" x14ac:dyDescent="0.25">
      <c r="A218" s="104" t="s">
        <v>44</v>
      </c>
      <c r="B218" s="82" t="s">
        <v>53</v>
      </c>
      <c r="C218" s="186" t="s">
        <v>28</v>
      </c>
      <c r="D218" s="124">
        <v>9</v>
      </c>
      <c r="E218" s="140">
        <f>G218/D218</f>
        <v>39569.650666666654</v>
      </c>
      <c r="F218" s="173">
        <f>H218/D218</f>
        <v>36503.424888888905</v>
      </c>
      <c r="G218" s="140">
        <f>(85094.78+50158.89+9205.02+2940.07+72516.65+31039.46+450.4+45367.11)*1.2</f>
        <v>356126.85599999991</v>
      </c>
      <c r="H218" s="140">
        <f>684657.68-G218</f>
        <v>328530.82400000014</v>
      </c>
      <c r="I218" s="140">
        <f t="shared" si="26"/>
        <v>684657.68</v>
      </c>
      <c r="J218" s="65"/>
    </row>
    <row r="219" spans="1:10" ht="13.5" hidden="1" outlineLevel="1" x14ac:dyDescent="0.25">
      <c r="A219" s="105"/>
      <c r="B219" s="70" t="s">
        <v>219</v>
      </c>
      <c r="C219" s="234" t="s">
        <v>0</v>
      </c>
      <c r="D219" s="43">
        <v>13.96</v>
      </c>
      <c r="E219" s="140"/>
      <c r="F219" s="140"/>
      <c r="G219" s="140"/>
      <c r="H219" s="140"/>
      <c r="I219" s="140">
        <f t="shared" si="26"/>
        <v>0</v>
      </c>
      <c r="J219" s="65"/>
    </row>
    <row r="220" spans="1:10" s="84" customFormat="1" hidden="1" outlineLevel="1" x14ac:dyDescent="0.25">
      <c r="A220" s="62"/>
      <c r="B220" s="78" t="s">
        <v>81</v>
      </c>
      <c r="C220" s="212" t="s">
        <v>0</v>
      </c>
      <c r="D220" s="46">
        <f>23*0.4</f>
        <v>9.2000000000000011</v>
      </c>
      <c r="E220" s="138"/>
      <c r="F220" s="129"/>
      <c r="G220" s="129"/>
      <c r="H220" s="129"/>
      <c r="I220" s="126">
        <f>G220+H220</f>
        <v>0</v>
      </c>
      <c r="J220" s="83"/>
    </row>
    <row r="221" spans="1:10" s="84" customFormat="1" hidden="1" outlineLevel="1" x14ac:dyDescent="0.25">
      <c r="A221" s="62"/>
      <c r="B221" s="86" t="s">
        <v>83</v>
      </c>
      <c r="C221" s="212" t="s">
        <v>0</v>
      </c>
      <c r="D221" s="46">
        <f>0.05*7</f>
        <v>0.35000000000000003</v>
      </c>
      <c r="E221" s="138"/>
      <c r="F221" s="129"/>
      <c r="G221" s="129"/>
      <c r="H221" s="129"/>
      <c r="I221" s="126">
        <f>G221+H221</f>
        <v>0</v>
      </c>
      <c r="J221" s="83"/>
    </row>
    <row r="222" spans="1:10" s="84" customFormat="1" hidden="1" outlineLevel="1" x14ac:dyDescent="0.25">
      <c r="A222" s="62"/>
      <c r="B222" s="78" t="s">
        <v>80</v>
      </c>
      <c r="C222" s="212" t="s">
        <v>0</v>
      </c>
      <c r="D222" s="46">
        <f>0.38*9</f>
        <v>3.42</v>
      </c>
      <c r="E222" s="138"/>
      <c r="F222" s="129"/>
      <c r="G222" s="129"/>
      <c r="H222" s="129"/>
      <c r="I222" s="126">
        <f t="shared" si="26"/>
        <v>0</v>
      </c>
      <c r="J222" s="83"/>
    </row>
    <row r="223" spans="1:10" s="84" customFormat="1" hidden="1" outlineLevel="1" x14ac:dyDescent="0.25">
      <c r="A223" s="62"/>
      <c r="B223" s="78" t="s">
        <v>82</v>
      </c>
      <c r="C223" s="212" t="s">
        <v>0</v>
      </c>
      <c r="D223" s="46">
        <f>0.27*3</f>
        <v>0.81</v>
      </c>
      <c r="E223" s="138"/>
      <c r="F223" s="129"/>
      <c r="G223" s="129"/>
      <c r="H223" s="129"/>
      <c r="I223" s="126">
        <f t="shared" si="26"/>
        <v>0</v>
      </c>
      <c r="J223" s="83"/>
    </row>
    <row r="224" spans="1:10" s="84" customFormat="1" hidden="1" outlineLevel="1" x14ac:dyDescent="0.25">
      <c r="A224" s="62"/>
      <c r="B224" s="86" t="s">
        <v>84</v>
      </c>
      <c r="C224" s="212" t="s">
        <v>0</v>
      </c>
      <c r="D224" s="46">
        <f>0.02*9</f>
        <v>0.18</v>
      </c>
      <c r="E224" s="138"/>
      <c r="F224" s="129"/>
      <c r="G224" s="129"/>
      <c r="H224" s="129"/>
      <c r="I224" s="126">
        <f t="shared" si="26"/>
        <v>0</v>
      </c>
      <c r="J224" s="83"/>
    </row>
    <row r="225" spans="1:10" s="84" customFormat="1" hidden="1" outlineLevel="1" x14ac:dyDescent="0.25">
      <c r="A225" s="62"/>
      <c r="B225" s="78" t="s">
        <v>58</v>
      </c>
      <c r="C225" s="212" t="s">
        <v>28</v>
      </c>
      <c r="D225" s="46">
        <v>9</v>
      </c>
      <c r="E225" s="138"/>
      <c r="F225" s="129"/>
      <c r="G225" s="129"/>
      <c r="H225" s="129"/>
      <c r="I225" s="126">
        <f t="shared" si="26"/>
        <v>0</v>
      </c>
      <c r="J225" s="83"/>
    </row>
    <row r="226" spans="1:10" s="84" customFormat="1" hidden="1" outlineLevel="1" x14ac:dyDescent="0.25">
      <c r="A226" s="62"/>
      <c r="B226" s="78" t="s">
        <v>220</v>
      </c>
      <c r="C226" s="212" t="s">
        <v>29</v>
      </c>
      <c r="D226" s="46">
        <f>2*22.7</f>
        <v>45.4</v>
      </c>
      <c r="E226" s="138"/>
      <c r="F226" s="129"/>
      <c r="G226" s="129"/>
      <c r="H226" s="129"/>
      <c r="I226" s="126">
        <f t="shared" si="26"/>
        <v>0</v>
      </c>
      <c r="J226" s="83"/>
    </row>
    <row r="227" spans="1:10" ht="13.5" hidden="1" outlineLevel="1" x14ac:dyDescent="0.25">
      <c r="A227" s="105"/>
      <c r="B227" s="78" t="s">
        <v>221</v>
      </c>
      <c r="C227" s="212" t="s">
        <v>29</v>
      </c>
      <c r="D227" s="45">
        <f>7*33.8</f>
        <v>236.59999999999997</v>
      </c>
      <c r="E227" s="129"/>
      <c r="F227" s="129"/>
      <c r="G227" s="129"/>
      <c r="H227" s="129"/>
      <c r="I227" s="126">
        <f t="shared" si="26"/>
        <v>0</v>
      </c>
      <c r="J227" s="65"/>
    </row>
    <row r="228" spans="1:10" ht="13.5" hidden="1" outlineLevel="1" x14ac:dyDescent="0.25">
      <c r="A228" s="105"/>
      <c r="B228" s="91" t="s">
        <v>33</v>
      </c>
      <c r="C228" s="221" t="s">
        <v>28</v>
      </c>
      <c r="D228" s="45">
        <v>11</v>
      </c>
      <c r="E228" s="129"/>
      <c r="F228" s="129"/>
      <c r="G228" s="129"/>
      <c r="H228" s="129"/>
      <c r="I228" s="126">
        <f t="shared" si="26"/>
        <v>0</v>
      </c>
      <c r="J228" s="65"/>
    </row>
    <row r="229" spans="1:10" ht="13.5" hidden="1" outlineLevel="1" x14ac:dyDescent="0.25">
      <c r="A229" s="105"/>
      <c r="B229" s="91" t="s">
        <v>34</v>
      </c>
      <c r="C229" s="221" t="s">
        <v>28</v>
      </c>
      <c r="D229" s="45">
        <v>4</v>
      </c>
      <c r="E229" s="129"/>
      <c r="F229" s="129"/>
      <c r="G229" s="129"/>
      <c r="H229" s="129"/>
      <c r="I229" s="126">
        <f t="shared" si="26"/>
        <v>0</v>
      </c>
      <c r="J229" s="65"/>
    </row>
    <row r="230" spans="1:10" ht="13.5" hidden="1" outlineLevel="1" x14ac:dyDescent="0.25">
      <c r="A230" s="105"/>
      <c r="B230" s="70" t="s">
        <v>32</v>
      </c>
      <c r="C230" s="56" t="s">
        <v>10</v>
      </c>
      <c r="D230" s="43">
        <f>24.3*4.71</f>
        <v>114.453</v>
      </c>
      <c r="E230" s="129"/>
      <c r="F230" s="129"/>
      <c r="G230" s="129"/>
      <c r="H230" s="129"/>
      <c r="I230" s="126">
        <f t="shared" si="26"/>
        <v>0</v>
      </c>
      <c r="J230" s="65"/>
    </row>
    <row r="231" spans="1:10" ht="13.5" hidden="1" outlineLevel="1" x14ac:dyDescent="0.25">
      <c r="A231" s="105"/>
      <c r="B231" s="91" t="s">
        <v>163</v>
      </c>
      <c r="C231" s="221" t="s">
        <v>29</v>
      </c>
      <c r="D231" s="45">
        <f>274.68</f>
        <v>274.68</v>
      </c>
      <c r="E231" s="129"/>
      <c r="F231" s="129"/>
      <c r="G231" s="129"/>
      <c r="H231" s="129"/>
      <c r="I231" s="126">
        <f t="shared" si="26"/>
        <v>0</v>
      </c>
      <c r="J231" s="65"/>
    </row>
    <row r="232" spans="1:10" ht="13.5" x14ac:dyDescent="0.25">
      <c r="A232" s="28" t="s">
        <v>48</v>
      </c>
      <c r="B232" s="31" t="s">
        <v>115</v>
      </c>
      <c r="C232" s="37"/>
      <c r="D232" s="38"/>
      <c r="E232" s="139"/>
      <c r="F232" s="139"/>
      <c r="G232" s="139"/>
      <c r="H232" s="139"/>
      <c r="I232" s="135">
        <f>SUM(I233:I429)</f>
        <v>16813962.949999999</v>
      </c>
      <c r="J232" s="142"/>
    </row>
    <row r="233" spans="1:10" ht="13.5" collapsed="1" x14ac:dyDescent="0.25">
      <c r="A233" s="32" t="s">
        <v>13</v>
      </c>
      <c r="B233" s="42" t="s">
        <v>301</v>
      </c>
      <c r="C233" s="112" t="s">
        <v>0</v>
      </c>
      <c r="D233" s="113">
        <f>D234*0.06</f>
        <v>10.02</v>
      </c>
      <c r="E233" s="140">
        <f>G233/D233</f>
        <v>0</v>
      </c>
      <c r="F233" s="173">
        <f>H233/D233</f>
        <v>3823.664670658683</v>
      </c>
      <c r="G233" s="126">
        <v>0</v>
      </c>
      <c r="H233" s="126">
        <f>38313.12-G233</f>
        <v>38313.120000000003</v>
      </c>
      <c r="I233" s="126">
        <f t="shared" ref="I233" si="33">G233+H233</f>
        <v>38313.120000000003</v>
      </c>
      <c r="J233" s="51"/>
    </row>
    <row r="234" spans="1:10" ht="13.5" hidden="1" outlineLevel="1" x14ac:dyDescent="0.25">
      <c r="A234" s="2" t="s">
        <v>14</v>
      </c>
      <c r="B234" s="33" t="s">
        <v>26</v>
      </c>
      <c r="C234" s="3" t="s">
        <v>10</v>
      </c>
      <c r="D234" s="64">
        <v>167</v>
      </c>
      <c r="E234" s="138"/>
      <c r="F234" s="129"/>
      <c r="G234" s="129"/>
      <c r="H234" s="129"/>
      <c r="I234" s="126">
        <f t="shared" ref="I234:I251" si="34">G234+H234</f>
        <v>0</v>
      </c>
      <c r="J234" s="29"/>
    </row>
    <row r="235" spans="1:10" ht="13.5" hidden="1" outlineLevel="1" x14ac:dyDescent="0.2">
      <c r="A235" s="2" t="s">
        <v>15</v>
      </c>
      <c r="B235" s="66" t="s">
        <v>40</v>
      </c>
      <c r="C235" s="3" t="s">
        <v>22</v>
      </c>
      <c r="D235" s="67">
        <f>D234*0.06*1.9</f>
        <v>19.037999999999997</v>
      </c>
      <c r="E235" s="138"/>
      <c r="F235" s="129"/>
      <c r="G235" s="129"/>
      <c r="H235" s="129"/>
      <c r="I235" s="126">
        <f t="shared" si="34"/>
        <v>0</v>
      </c>
      <c r="J235" s="29"/>
    </row>
    <row r="236" spans="1:10" ht="13.5" hidden="1" outlineLevel="1" x14ac:dyDescent="0.2">
      <c r="A236" s="52" t="s">
        <v>16</v>
      </c>
      <c r="B236" s="162" t="s">
        <v>23</v>
      </c>
      <c r="C236" s="53" t="s">
        <v>22</v>
      </c>
      <c r="D236" s="68">
        <f>D234*0.06*1.9</f>
        <v>19.037999999999997</v>
      </c>
      <c r="E236" s="138"/>
      <c r="F236" s="129"/>
      <c r="G236" s="129"/>
      <c r="H236" s="129"/>
      <c r="I236" s="126">
        <f t="shared" si="34"/>
        <v>0</v>
      </c>
      <c r="J236" s="54"/>
    </row>
    <row r="237" spans="1:10" ht="13.5" collapsed="1" x14ac:dyDescent="0.2">
      <c r="A237" s="40" t="s">
        <v>17</v>
      </c>
      <c r="B237" s="163" t="s">
        <v>300</v>
      </c>
      <c r="C237" s="94" t="s">
        <v>0</v>
      </c>
      <c r="D237" s="164">
        <f>D244+D243</f>
        <v>495</v>
      </c>
      <c r="E237" s="140">
        <f>G237/D237</f>
        <v>1180.1722424242425</v>
      </c>
      <c r="F237" s="173">
        <f>H237/D237</f>
        <v>1031.4637575757577</v>
      </c>
      <c r="G237" s="129">
        <f>(253612.26+233208.79)*1.2</f>
        <v>584185.26</v>
      </c>
      <c r="H237" s="129">
        <f>1094759.82-G237</f>
        <v>510574.56000000006</v>
      </c>
      <c r="I237" s="126">
        <f t="shared" si="34"/>
        <v>1094759.82</v>
      </c>
      <c r="J237" s="54"/>
    </row>
    <row r="238" spans="1:10" ht="38.25" hidden="1" outlineLevel="1" x14ac:dyDescent="0.25">
      <c r="A238" s="2" t="s">
        <v>273</v>
      </c>
      <c r="B238" s="76" t="s">
        <v>144</v>
      </c>
      <c r="C238" s="44" t="s">
        <v>28</v>
      </c>
      <c r="D238" s="92">
        <v>3</v>
      </c>
      <c r="E238" s="140"/>
      <c r="F238" s="140"/>
      <c r="G238" s="140"/>
      <c r="H238" s="140"/>
      <c r="I238" s="126">
        <f>G238+H238</f>
        <v>0</v>
      </c>
      <c r="J238" s="65"/>
    </row>
    <row r="239" spans="1:10" ht="13.5" hidden="1" outlineLevel="1" x14ac:dyDescent="0.25">
      <c r="A239" s="2"/>
      <c r="B239" s="91" t="s">
        <v>41</v>
      </c>
      <c r="C239" s="44" t="s">
        <v>25</v>
      </c>
      <c r="D239" s="92">
        <v>127.2</v>
      </c>
      <c r="E239" s="140"/>
      <c r="F239" s="140"/>
      <c r="G239" s="140"/>
      <c r="H239" s="140"/>
      <c r="I239" s="126">
        <f>G239+H239</f>
        <v>0</v>
      </c>
      <c r="J239" s="65"/>
    </row>
    <row r="240" spans="1:10" ht="13.5" hidden="1" outlineLevel="1" x14ac:dyDescent="0.25">
      <c r="A240" s="2"/>
      <c r="B240" s="91" t="s">
        <v>42</v>
      </c>
      <c r="C240" s="44" t="s">
        <v>25</v>
      </c>
      <c r="D240" s="92">
        <v>72</v>
      </c>
      <c r="E240" s="140"/>
      <c r="F240" s="140"/>
      <c r="G240" s="140"/>
      <c r="H240" s="140"/>
      <c r="I240" s="126">
        <f>G240+H240</f>
        <v>0</v>
      </c>
      <c r="J240" s="65"/>
    </row>
    <row r="241" spans="1:10" ht="13.5" hidden="1" outlineLevel="1" x14ac:dyDescent="0.25">
      <c r="A241" s="2"/>
      <c r="B241" s="91" t="s">
        <v>43</v>
      </c>
      <c r="C241" s="44" t="s">
        <v>0</v>
      </c>
      <c r="D241" s="92">
        <v>7.2</v>
      </c>
      <c r="E241" s="140"/>
      <c r="F241" s="140"/>
      <c r="G241" s="140"/>
      <c r="H241" s="140"/>
      <c r="I241" s="126">
        <f>G241+H241</f>
        <v>0</v>
      </c>
      <c r="J241" s="65"/>
    </row>
    <row r="242" spans="1:10" ht="13.5" hidden="1" outlineLevel="1" x14ac:dyDescent="0.25">
      <c r="A242" s="2"/>
      <c r="B242" s="188" t="s">
        <v>274</v>
      </c>
      <c r="C242" s="44"/>
      <c r="D242" s="92"/>
      <c r="E242" s="140"/>
      <c r="F242" s="140"/>
      <c r="G242" s="140"/>
      <c r="H242" s="140"/>
      <c r="I242" s="126"/>
      <c r="J242" s="65"/>
    </row>
    <row r="243" spans="1:10" ht="13.5" hidden="1" outlineLevel="1" x14ac:dyDescent="0.25">
      <c r="A243" s="2" t="s">
        <v>275</v>
      </c>
      <c r="B243" s="73" t="s">
        <v>137</v>
      </c>
      <c r="C243" s="3" t="s">
        <v>0</v>
      </c>
      <c r="D243" s="64">
        <v>49</v>
      </c>
      <c r="E243" s="129"/>
      <c r="F243" s="129"/>
      <c r="G243" s="129"/>
      <c r="H243" s="129"/>
      <c r="I243" s="126">
        <f>G243+H243</f>
        <v>0</v>
      </c>
      <c r="J243" s="29"/>
    </row>
    <row r="244" spans="1:10" ht="25.5" hidden="1" outlineLevel="1" x14ac:dyDescent="0.25">
      <c r="A244" s="2" t="s">
        <v>276</v>
      </c>
      <c r="B244" s="73" t="s">
        <v>277</v>
      </c>
      <c r="C244" s="3" t="s">
        <v>0</v>
      </c>
      <c r="D244" s="64">
        <v>446</v>
      </c>
      <c r="E244" s="129"/>
      <c r="F244" s="129"/>
      <c r="G244" s="129"/>
      <c r="H244" s="129"/>
      <c r="I244" s="126">
        <f t="shared" si="34"/>
        <v>0</v>
      </c>
      <c r="J244" s="29"/>
    </row>
    <row r="245" spans="1:10" ht="13.5" hidden="1" outlineLevel="1" x14ac:dyDescent="0.2">
      <c r="A245" s="2" t="s">
        <v>278</v>
      </c>
      <c r="B245" s="66" t="s">
        <v>138</v>
      </c>
      <c r="C245" s="72" t="s">
        <v>22</v>
      </c>
      <c r="D245" s="35">
        <v>80.849999999999994</v>
      </c>
      <c r="E245" s="129"/>
      <c r="F245" s="129"/>
      <c r="G245" s="129"/>
      <c r="H245" s="129"/>
      <c r="I245" s="126"/>
      <c r="J245" s="29"/>
    </row>
    <row r="246" spans="1:10" s="22" customFormat="1" hidden="1" outlineLevel="1" x14ac:dyDescent="0.2">
      <c r="A246" s="2" t="s">
        <v>172</v>
      </c>
      <c r="B246" s="66" t="s">
        <v>139</v>
      </c>
      <c r="C246" s="72" t="s">
        <v>22</v>
      </c>
      <c r="D246" s="165">
        <v>816.75</v>
      </c>
      <c r="E246" s="129"/>
      <c r="F246" s="129"/>
      <c r="G246" s="129"/>
      <c r="H246" s="129"/>
      <c r="I246" s="126">
        <f t="shared" si="34"/>
        <v>0</v>
      </c>
      <c r="J246" s="21"/>
    </row>
    <row r="247" spans="1:10" s="22" customFormat="1" ht="25.5" hidden="1" outlineLevel="1" x14ac:dyDescent="0.2">
      <c r="A247" s="2" t="s">
        <v>279</v>
      </c>
      <c r="B247" s="66" t="s">
        <v>140</v>
      </c>
      <c r="C247" s="72" t="s">
        <v>0</v>
      </c>
      <c r="D247" s="35">
        <v>411.3</v>
      </c>
      <c r="E247" s="129"/>
      <c r="F247" s="129"/>
      <c r="G247" s="129"/>
      <c r="H247" s="129"/>
      <c r="I247" s="126">
        <f t="shared" si="34"/>
        <v>0</v>
      </c>
      <c r="J247" s="21"/>
    </row>
    <row r="248" spans="1:10" ht="13.5" hidden="1" outlineLevel="1" x14ac:dyDescent="0.2">
      <c r="A248" s="2" t="s">
        <v>280</v>
      </c>
      <c r="B248" s="66" t="s">
        <v>141</v>
      </c>
      <c r="C248" s="3" t="s">
        <v>0</v>
      </c>
      <c r="D248" s="58">
        <v>39</v>
      </c>
      <c r="E248" s="129"/>
      <c r="F248" s="129"/>
      <c r="G248" s="129"/>
      <c r="H248" s="129"/>
      <c r="I248" s="126">
        <f t="shared" si="34"/>
        <v>0</v>
      </c>
      <c r="J248" s="29"/>
    </row>
    <row r="249" spans="1:10" ht="13.5" hidden="1" outlineLevel="1" x14ac:dyDescent="0.2">
      <c r="A249" s="98"/>
      <c r="B249" s="166" t="s">
        <v>142</v>
      </c>
      <c r="C249" s="44" t="s">
        <v>0</v>
      </c>
      <c r="D249" s="50">
        <v>495.33000000000004</v>
      </c>
      <c r="E249" s="127"/>
      <c r="F249" s="127"/>
      <c r="G249" s="127"/>
      <c r="H249" s="127"/>
      <c r="I249" s="150">
        <f t="shared" si="34"/>
        <v>0</v>
      </c>
      <c r="J249" s="29"/>
    </row>
    <row r="250" spans="1:10" ht="13.5" hidden="1" outlineLevel="1" x14ac:dyDescent="0.2">
      <c r="A250" s="2" t="s">
        <v>281</v>
      </c>
      <c r="B250" s="66" t="s">
        <v>159</v>
      </c>
      <c r="C250" s="44" t="s">
        <v>0</v>
      </c>
      <c r="D250" s="50">
        <v>411.3</v>
      </c>
      <c r="E250" s="129"/>
      <c r="F250" s="129"/>
      <c r="G250" s="129"/>
      <c r="H250" s="129"/>
      <c r="I250" s="126">
        <f t="shared" si="34"/>
        <v>0</v>
      </c>
      <c r="J250" s="29"/>
    </row>
    <row r="251" spans="1:10" ht="13.5" hidden="1" outlineLevel="1" x14ac:dyDescent="0.2">
      <c r="A251" s="2" t="s">
        <v>173</v>
      </c>
      <c r="B251" s="66" t="s">
        <v>282</v>
      </c>
      <c r="C251" s="3" t="s">
        <v>0</v>
      </c>
      <c r="D251" s="64">
        <v>339</v>
      </c>
      <c r="E251" s="129"/>
      <c r="F251" s="129"/>
      <c r="G251" s="129"/>
      <c r="H251" s="129"/>
      <c r="I251" s="126">
        <f t="shared" si="34"/>
        <v>0</v>
      </c>
      <c r="J251" s="29"/>
    </row>
    <row r="252" spans="1:10" ht="13.5" collapsed="1" x14ac:dyDescent="0.25">
      <c r="A252" s="40" t="s">
        <v>18</v>
      </c>
      <c r="B252" s="41" t="s">
        <v>39</v>
      </c>
      <c r="C252" s="94" t="s">
        <v>114</v>
      </c>
      <c r="D252" s="125">
        <f>D254+D264+D274+D286+D298+D308+D318</f>
        <v>137</v>
      </c>
      <c r="E252" s="140">
        <f>G252/D252</f>
        <v>14533.926481751827</v>
      </c>
      <c r="F252" s="173">
        <f>H252/D252</f>
        <v>16563.948700729929</v>
      </c>
      <c r="G252" s="140">
        <f>(27585.9+51888.38+73333.07+9195.3+17296.13+29333.23+53639.25+100894.06+427586.34+157299.44+4597.65+8648.06+57781.94+28233.23+82757.69+155665.13+205332.6+4597.65+8648.06+18333.27+24520.8+46123+65999.76)*1.2</f>
        <v>1991147.9280000003</v>
      </c>
      <c r="H252" s="140">
        <f>4260408.9-G252</f>
        <v>2269260.9720000001</v>
      </c>
      <c r="I252" s="126">
        <f t="shared" ref="I252:I287" si="35">G252+H252</f>
        <v>4260408.9000000004</v>
      </c>
      <c r="J252" s="29"/>
    </row>
    <row r="253" spans="1:10" ht="13.5" hidden="1" outlineLevel="1" x14ac:dyDescent="0.25">
      <c r="A253" s="40" t="s">
        <v>19</v>
      </c>
      <c r="B253" s="41" t="s">
        <v>222</v>
      </c>
      <c r="C253" s="94"/>
      <c r="D253" s="125"/>
      <c r="E253" s="140"/>
      <c r="F253" s="140"/>
      <c r="G253" s="140"/>
      <c r="H253" s="140"/>
      <c r="I253" s="126"/>
      <c r="J253" s="29"/>
    </row>
    <row r="254" spans="1:10" ht="13.5" hidden="1" outlineLevel="1" x14ac:dyDescent="0.25">
      <c r="A254" s="2"/>
      <c r="B254" s="168" t="s">
        <v>179</v>
      </c>
      <c r="C254" s="3" t="s">
        <v>30</v>
      </c>
      <c r="D254" s="77">
        <v>18</v>
      </c>
      <c r="E254" s="140"/>
      <c r="F254" s="140"/>
      <c r="G254" s="140"/>
      <c r="H254" s="140"/>
      <c r="I254" s="126">
        <f t="shared" si="35"/>
        <v>0</v>
      </c>
      <c r="J254" s="29"/>
    </row>
    <row r="255" spans="1:10" ht="13.5" hidden="1" outlineLevel="1" x14ac:dyDescent="0.25">
      <c r="A255" s="2"/>
      <c r="B255" s="70" t="s">
        <v>145</v>
      </c>
      <c r="C255" s="3" t="s">
        <v>0</v>
      </c>
      <c r="D255" s="90">
        <v>6.5</v>
      </c>
      <c r="E255" s="140"/>
      <c r="F255" s="140"/>
      <c r="G255" s="140"/>
      <c r="H255" s="140"/>
      <c r="I255" s="126">
        <f t="shared" si="35"/>
        <v>0</v>
      </c>
      <c r="J255" s="29"/>
    </row>
    <row r="256" spans="1:10" ht="13.5" hidden="1" outlineLevel="1" x14ac:dyDescent="0.25">
      <c r="A256" s="2"/>
      <c r="B256" s="70" t="s">
        <v>146</v>
      </c>
      <c r="C256" s="3" t="s">
        <v>0</v>
      </c>
      <c r="D256" s="90">
        <v>6.5</v>
      </c>
      <c r="E256" s="140"/>
      <c r="F256" s="140"/>
      <c r="G256" s="140"/>
      <c r="H256" s="140"/>
      <c r="I256" s="126">
        <f t="shared" si="35"/>
        <v>0</v>
      </c>
      <c r="J256" s="29"/>
    </row>
    <row r="257" spans="1:10" ht="13.5" hidden="1" outlineLevel="1" x14ac:dyDescent="0.25">
      <c r="A257" s="2"/>
      <c r="B257" s="70" t="s">
        <v>197</v>
      </c>
      <c r="C257" s="3" t="s">
        <v>0</v>
      </c>
      <c r="D257" s="90">
        <v>6.5</v>
      </c>
      <c r="E257" s="140"/>
      <c r="F257" s="140"/>
      <c r="G257" s="140"/>
      <c r="H257" s="140"/>
      <c r="I257" s="126">
        <f t="shared" si="35"/>
        <v>0</v>
      </c>
      <c r="J257" s="29"/>
    </row>
    <row r="258" spans="1:10" ht="13.5" hidden="1" outlineLevel="1" x14ac:dyDescent="0.25">
      <c r="A258" s="2"/>
      <c r="B258" s="70" t="s">
        <v>205</v>
      </c>
      <c r="C258" s="3" t="s">
        <v>28</v>
      </c>
      <c r="D258" s="90">
        <v>1</v>
      </c>
      <c r="E258" s="140"/>
      <c r="F258" s="140"/>
      <c r="G258" s="140"/>
      <c r="H258" s="140"/>
      <c r="I258" s="126">
        <f t="shared" si="35"/>
        <v>0</v>
      </c>
      <c r="J258" s="29"/>
    </row>
    <row r="259" spans="1:10" ht="13.5" hidden="1" outlineLevel="1" x14ac:dyDescent="0.25">
      <c r="A259" s="2"/>
      <c r="B259" s="70" t="s">
        <v>206</v>
      </c>
      <c r="C259" s="3" t="s">
        <v>28</v>
      </c>
      <c r="D259" s="90">
        <v>1</v>
      </c>
      <c r="E259" s="140"/>
      <c r="F259" s="140"/>
      <c r="G259" s="140"/>
      <c r="H259" s="140"/>
      <c r="I259" s="126"/>
      <c r="J259" s="29"/>
    </row>
    <row r="260" spans="1:10" ht="25.5" hidden="1" outlineLevel="1" x14ac:dyDescent="0.25">
      <c r="A260" s="2"/>
      <c r="B260" s="70" t="s">
        <v>283</v>
      </c>
      <c r="C260" s="3" t="s">
        <v>25</v>
      </c>
      <c r="D260" s="90">
        <v>18</v>
      </c>
      <c r="E260" s="140"/>
      <c r="F260" s="140"/>
      <c r="G260" s="140"/>
      <c r="H260" s="140"/>
      <c r="I260" s="126"/>
      <c r="J260" s="29"/>
    </row>
    <row r="261" spans="1:10" ht="13.5" hidden="1" outlineLevel="1" x14ac:dyDescent="0.25">
      <c r="A261" s="2"/>
      <c r="B261" s="91" t="s">
        <v>38</v>
      </c>
      <c r="C261" s="44" t="s">
        <v>25</v>
      </c>
      <c r="D261" s="169">
        <v>20</v>
      </c>
      <c r="E261" s="140"/>
      <c r="F261" s="140"/>
      <c r="G261" s="140"/>
      <c r="H261" s="140"/>
      <c r="I261" s="126">
        <f>G261+H261</f>
        <v>0</v>
      </c>
      <c r="J261" s="29"/>
    </row>
    <row r="262" spans="1:10" s="84" customFormat="1" hidden="1" outlineLevel="1" x14ac:dyDescent="0.25">
      <c r="A262" s="96"/>
      <c r="B262" s="148" t="s">
        <v>285</v>
      </c>
      <c r="C262" s="180" t="s">
        <v>25</v>
      </c>
      <c r="D262" s="181">
        <v>20</v>
      </c>
      <c r="E262" s="141"/>
      <c r="F262" s="140"/>
      <c r="G262" s="129"/>
      <c r="H262" s="129"/>
      <c r="I262" s="126">
        <f t="shared" si="35"/>
        <v>0</v>
      </c>
      <c r="J262" s="83"/>
    </row>
    <row r="263" spans="1:10" ht="13.5" hidden="1" outlineLevel="1" x14ac:dyDescent="0.25">
      <c r="A263" s="40" t="s">
        <v>20</v>
      </c>
      <c r="B263" s="89" t="s">
        <v>223</v>
      </c>
      <c r="C263" s="3"/>
      <c r="D263" s="90"/>
      <c r="E263" s="140"/>
      <c r="F263" s="140"/>
      <c r="G263" s="140"/>
      <c r="H263" s="140"/>
      <c r="I263" s="126"/>
      <c r="J263" s="29"/>
    </row>
    <row r="264" spans="1:10" ht="13.5" hidden="1" outlineLevel="1" x14ac:dyDescent="0.25">
      <c r="A264" s="2"/>
      <c r="B264" s="168" t="s">
        <v>180</v>
      </c>
      <c r="C264" s="3" t="s">
        <v>30</v>
      </c>
      <c r="D264" s="77">
        <v>6</v>
      </c>
      <c r="E264" s="140"/>
      <c r="F264" s="140"/>
      <c r="G264" s="140"/>
      <c r="H264" s="140"/>
      <c r="I264" s="126">
        <f t="shared" si="35"/>
        <v>0</v>
      </c>
      <c r="J264" s="29"/>
    </row>
    <row r="265" spans="1:10" ht="13.5" hidden="1" outlineLevel="1" x14ac:dyDescent="0.25">
      <c r="A265" s="2"/>
      <c r="B265" s="70" t="s">
        <v>145</v>
      </c>
      <c r="C265" s="3" t="s">
        <v>0</v>
      </c>
      <c r="D265" s="90">
        <v>6.5</v>
      </c>
      <c r="E265" s="140"/>
      <c r="F265" s="140"/>
      <c r="G265" s="140"/>
      <c r="H265" s="140"/>
      <c r="I265" s="126">
        <f t="shared" si="35"/>
        <v>0</v>
      </c>
      <c r="J265" s="29"/>
    </row>
    <row r="266" spans="1:10" ht="13.5" hidden="1" outlineLevel="1" x14ac:dyDescent="0.25">
      <c r="A266" s="2"/>
      <c r="B266" s="70" t="s">
        <v>146</v>
      </c>
      <c r="C266" s="3" t="s">
        <v>0</v>
      </c>
      <c r="D266" s="90">
        <v>6.5</v>
      </c>
      <c r="E266" s="140"/>
      <c r="F266" s="140"/>
      <c r="G266" s="140"/>
      <c r="H266" s="140"/>
      <c r="I266" s="126">
        <f t="shared" si="35"/>
        <v>0</v>
      </c>
      <c r="J266" s="29"/>
    </row>
    <row r="267" spans="1:10" ht="13.5" hidden="1" outlineLevel="1" x14ac:dyDescent="0.25">
      <c r="A267" s="2"/>
      <c r="B267" s="70" t="s">
        <v>197</v>
      </c>
      <c r="C267" s="3" t="s">
        <v>0</v>
      </c>
      <c r="D267" s="90">
        <v>6.5</v>
      </c>
      <c r="E267" s="140"/>
      <c r="F267" s="140"/>
      <c r="G267" s="140"/>
      <c r="H267" s="140"/>
      <c r="I267" s="126">
        <f t="shared" si="35"/>
        <v>0</v>
      </c>
      <c r="J267" s="29"/>
    </row>
    <row r="268" spans="1:10" ht="13.5" hidden="1" outlineLevel="1" x14ac:dyDescent="0.25">
      <c r="A268" s="2"/>
      <c r="B268" s="70" t="s">
        <v>205</v>
      </c>
      <c r="C268" s="3" t="s">
        <v>28</v>
      </c>
      <c r="D268" s="90">
        <v>1</v>
      </c>
      <c r="E268" s="140"/>
      <c r="F268" s="140"/>
      <c r="G268" s="140"/>
      <c r="H268" s="140"/>
      <c r="I268" s="126">
        <f t="shared" si="35"/>
        <v>0</v>
      </c>
      <c r="J268" s="29"/>
    </row>
    <row r="269" spans="1:10" ht="13.5" hidden="1" outlineLevel="1" x14ac:dyDescent="0.25">
      <c r="A269" s="2"/>
      <c r="B269" s="70" t="s">
        <v>206</v>
      </c>
      <c r="C269" s="3" t="s">
        <v>28</v>
      </c>
      <c r="D269" s="90">
        <v>1</v>
      </c>
      <c r="E269" s="140"/>
      <c r="F269" s="140"/>
      <c r="G269" s="140"/>
      <c r="H269" s="140"/>
      <c r="I269" s="126"/>
      <c r="J269" s="29"/>
    </row>
    <row r="270" spans="1:10" ht="25.5" hidden="1" outlineLevel="1" x14ac:dyDescent="0.25">
      <c r="A270" s="2"/>
      <c r="B270" s="70" t="s">
        <v>286</v>
      </c>
      <c r="C270" s="3" t="s">
        <v>25</v>
      </c>
      <c r="D270" s="90">
        <v>6</v>
      </c>
      <c r="E270" s="140"/>
      <c r="F270" s="140"/>
      <c r="G270" s="140"/>
      <c r="H270" s="140"/>
      <c r="I270" s="126"/>
      <c r="J270" s="29"/>
    </row>
    <row r="271" spans="1:10" ht="13.5" hidden="1" outlineLevel="1" x14ac:dyDescent="0.25">
      <c r="A271" s="2"/>
      <c r="B271" s="91" t="s">
        <v>38</v>
      </c>
      <c r="C271" s="44" t="s">
        <v>25</v>
      </c>
      <c r="D271" s="169">
        <v>8</v>
      </c>
      <c r="E271" s="140"/>
      <c r="F271" s="140"/>
      <c r="G271" s="140"/>
      <c r="H271" s="140"/>
      <c r="I271" s="126">
        <f>G271+H271</f>
        <v>0</v>
      </c>
      <c r="J271" s="29"/>
    </row>
    <row r="272" spans="1:10" s="84" customFormat="1" hidden="1" outlineLevel="1" x14ac:dyDescent="0.25">
      <c r="A272" s="96"/>
      <c r="B272" s="148" t="s">
        <v>285</v>
      </c>
      <c r="C272" s="180" t="s">
        <v>25</v>
      </c>
      <c r="D272" s="181">
        <v>8</v>
      </c>
      <c r="E272" s="141"/>
      <c r="F272" s="140"/>
      <c r="G272" s="129"/>
      <c r="H272" s="129"/>
      <c r="I272" s="126">
        <f t="shared" ref="I272" si="36">G272+H272</f>
        <v>0</v>
      </c>
      <c r="J272" s="83"/>
    </row>
    <row r="273" spans="1:10" ht="25.5" hidden="1" outlineLevel="1" x14ac:dyDescent="0.25">
      <c r="A273" s="40" t="s">
        <v>24</v>
      </c>
      <c r="B273" s="89" t="s">
        <v>224</v>
      </c>
      <c r="C273" s="3"/>
      <c r="D273" s="90"/>
      <c r="E273" s="140"/>
      <c r="F273" s="140"/>
      <c r="G273" s="140"/>
      <c r="H273" s="140"/>
      <c r="I273" s="126"/>
      <c r="J273" s="29"/>
    </row>
    <row r="274" spans="1:10" ht="25.5" hidden="1" outlineLevel="1" x14ac:dyDescent="0.25">
      <c r="A274" s="2"/>
      <c r="B274" s="168" t="s">
        <v>36</v>
      </c>
      <c r="C274" s="3" t="s">
        <v>30</v>
      </c>
      <c r="D274" s="77">
        <v>37</v>
      </c>
      <c r="E274" s="140"/>
      <c r="F274" s="140"/>
      <c r="G274" s="140"/>
      <c r="H274" s="140"/>
      <c r="I274" s="126">
        <f t="shared" si="35"/>
        <v>0</v>
      </c>
      <c r="J274" s="29"/>
    </row>
    <row r="275" spans="1:10" ht="13.5" hidden="1" outlineLevel="1" x14ac:dyDescent="0.25">
      <c r="A275" s="2"/>
      <c r="B275" s="70" t="s">
        <v>145</v>
      </c>
      <c r="C275" s="3" t="s">
        <v>0</v>
      </c>
      <c r="D275" s="90">
        <v>6.5</v>
      </c>
      <c r="E275" s="140"/>
      <c r="F275" s="140"/>
      <c r="G275" s="140"/>
      <c r="H275" s="140"/>
      <c r="I275" s="126">
        <f t="shared" si="35"/>
        <v>0</v>
      </c>
      <c r="J275" s="29"/>
    </row>
    <row r="276" spans="1:10" ht="13.5" hidden="1" outlineLevel="1" x14ac:dyDescent="0.25">
      <c r="A276" s="2"/>
      <c r="B276" s="70" t="s">
        <v>146</v>
      </c>
      <c r="C276" s="3" t="s">
        <v>0</v>
      </c>
      <c r="D276" s="90">
        <v>6.5</v>
      </c>
      <c r="E276" s="140"/>
      <c r="F276" s="140"/>
      <c r="G276" s="140"/>
      <c r="H276" s="140"/>
      <c r="I276" s="126">
        <f t="shared" si="35"/>
        <v>0</v>
      </c>
      <c r="J276" s="29"/>
    </row>
    <row r="277" spans="1:10" ht="13.5" hidden="1" outlineLevel="1" x14ac:dyDescent="0.25">
      <c r="A277" s="2"/>
      <c r="B277" s="70" t="s">
        <v>197</v>
      </c>
      <c r="C277" s="3" t="s">
        <v>0</v>
      </c>
      <c r="D277" s="90">
        <v>6.5</v>
      </c>
      <c r="E277" s="140"/>
      <c r="F277" s="140"/>
      <c r="G277" s="140"/>
      <c r="H277" s="140"/>
      <c r="I277" s="126">
        <f t="shared" si="35"/>
        <v>0</v>
      </c>
      <c r="J277" s="29"/>
    </row>
    <row r="278" spans="1:10" ht="13.5" hidden="1" outlineLevel="1" x14ac:dyDescent="0.25">
      <c r="A278" s="2"/>
      <c r="B278" s="70" t="s">
        <v>205</v>
      </c>
      <c r="C278" s="3" t="s">
        <v>28</v>
      </c>
      <c r="D278" s="90">
        <v>1</v>
      </c>
      <c r="E278" s="140"/>
      <c r="F278" s="140"/>
      <c r="G278" s="140"/>
      <c r="H278" s="140"/>
      <c r="I278" s="126"/>
      <c r="J278" s="29"/>
    </row>
    <row r="279" spans="1:10" ht="13.5" hidden="1" outlineLevel="1" x14ac:dyDescent="0.25">
      <c r="A279" s="2"/>
      <c r="B279" s="70" t="s">
        <v>206</v>
      </c>
      <c r="C279" s="3" t="s">
        <v>28</v>
      </c>
      <c r="D279" s="90">
        <v>1</v>
      </c>
      <c r="E279" s="140"/>
      <c r="F279" s="140"/>
      <c r="G279" s="140"/>
      <c r="H279" s="140"/>
      <c r="I279" s="126"/>
      <c r="J279" s="29"/>
    </row>
    <row r="280" spans="1:10" ht="25.5" hidden="1" outlineLevel="1" x14ac:dyDescent="0.25">
      <c r="A280" s="2"/>
      <c r="B280" s="70" t="s">
        <v>287</v>
      </c>
      <c r="C280" s="3" t="s">
        <v>25</v>
      </c>
      <c r="D280" s="90">
        <v>35</v>
      </c>
      <c r="E280" s="140"/>
      <c r="F280" s="140"/>
      <c r="G280" s="140"/>
      <c r="H280" s="140"/>
      <c r="I280" s="126"/>
      <c r="J280" s="29"/>
    </row>
    <row r="281" spans="1:10" ht="13.5" hidden="1" outlineLevel="1" x14ac:dyDescent="0.25">
      <c r="A281" s="2"/>
      <c r="B281" s="167" t="s">
        <v>181</v>
      </c>
      <c r="C281" s="44" t="s">
        <v>25</v>
      </c>
      <c r="D281" s="169">
        <v>37</v>
      </c>
      <c r="E281" s="175"/>
      <c r="F281" s="140"/>
      <c r="G281" s="140"/>
      <c r="H281" s="140"/>
      <c r="I281" s="126">
        <f>G281+H281</f>
        <v>0</v>
      </c>
      <c r="J281" s="29"/>
    </row>
    <row r="282" spans="1:10" ht="13.5" hidden="1" outlineLevel="1" x14ac:dyDescent="0.25">
      <c r="A282" s="2"/>
      <c r="B282" s="170" t="s">
        <v>288</v>
      </c>
      <c r="C282" s="3" t="s">
        <v>25</v>
      </c>
      <c r="D282" s="77">
        <v>39</v>
      </c>
      <c r="E282" s="175"/>
      <c r="F282" s="140"/>
      <c r="G282" s="140"/>
      <c r="H282" s="140"/>
      <c r="I282" s="126"/>
      <c r="J282" s="29"/>
    </row>
    <row r="283" spans="1:10" ht="13.5" hidden="1" outlineLevel="1" x14ac:dyDescent="0.25">
      <c r="A283" s="2"/>
      <c r="B283" s="91" t="s">
        <v>38</v>
      </c>
      <c r="C283" s="44" t="s">
        <v>25</v>
      </c>
      <c r="D283" s="169">
        <v>42.9</v>
      </c>
      <c r="E283" s="175"/>
      <c r="F283" s="140"/>
      <c r="G283" s="140"/>
      <c r="H283" s="140"/>
      <c r="I283" s="126">
        <f>G283+H283</f>
        <v>0</v>
      </c>
      <c r="J283" s="29"/>
    </row>
    <row r="284" spans="1:10" s="84" customFormat="1" hidden="1" outlineLevel="1" x14ac:dyDescent="0.25">
      <c r="A284" s="96"/>
      <c r="B284" s="148" t="s">
        <v>285</v>
      </c>
      <c r="C284" s="180" t="s">
        <v>25</v>
      </c>
      <c r="D284" s="181">
        <v>39</v>
      </c>
      <c r="E284" s="141"/>
      <c r="F284" s="140"/>
      <c r="G284" s="129"/>
      <c r="H284" s="129"/>
      <c r="I284" s="126">
        <f t="shared" ref="I284" si="37">G284+H284</f>
        <v>0</v>
      </c>
      <c r="J284" s="83"/>
    </row>
    <row r="285" spans="1:10" ht="25.5" hidden="1" outlineLevel="1" x14ac:dyDescent="0.25">
      <c r="A285" s="40" t="s">
        <v>254</v>
      </c>
      <c r="B285" s="89" t="s">
        <v>225</v>
      </c>
      <c r="C285" s="3"/>
      <c r="D285" s="90"/>
      <c r="E285" s="140"/>
      <c r="F285" s="140"/>
      <c r="G285" s="140"/>
      <c r="H285" s="140"/>
      <c r="I285" s="126"/>
      <c r="J285" s="29"/>
    </row>
    <row r="286" spans="1:10" ht="13.5" hidden="1" outlineLevel="1" x14ac:dyDescent="0.25">
      <c r="A286" s="2"/>
      <c r="B286" s="168" t="s">
        <v>47</v>
      </c>
      <c r="C286" s="3" t="s">
        <v>30</v>
      </c>
      <c r="D286" s="77">
        <v>3</v>
      </c>
      <c r="E286" s="140"/>
      <c r="F286" s="140"/>
      <c r="G286" s="140"/>
      <c r="H286" s="140"/>
      <c r="I286" s="126">
        <f t="shared" si="35"/>
        <v>0</v>
      </c>
      <c r="J286" s="29"/>
    </row>
    <row r="287" spans="1:10" ht="13.5" hidden="1" outlineLevel="1" x14ac:dyDescent="0.25">
      <c r="A287" s="2"/>
      <c r="B287" s="70" t="s">
        <v>145</v>
      </c>
      <c r="C287" s="3" t="s">
        <v>0</v>
      </c>
      <c r="D287" s="90">
        <v>6.5</v>
      </c>
      <c r="E287" s="140"/>
      <c r="F287" s="140"/>
      <c r="G287" s="140"/>
      <c r="H287" s="140"/>
      <c r="I287" s="126">
        <f t="shared" si="35"/>
        <v>0</v>
      </c>
      <c r="J287" s="29"/>
    </row>
    <row r="288" spans="1:10" ht="13.5" hidden="1" outlineLevel="1" x14ac:dyDescent="0.25">
      <c r="A288" s="2"/>
      <c r="B288" s="70" t="s">
        <v>146</v>
      </c>
      <c r="C288" s="3" t="s">
        <v>0</v>
      </c>
      <c r="D288" s="90">
        <v>6.5</v>
      </c>
      <c r="E288" s="140"/>
      <c r="F288" s="140"/>
      <c r="G288" s="140"/>
      <c r="H288" s="140"/>
      <c r="I288" s="126">
        <f t="shared" ref="I288:I419" si="38">G288+H288</f>
        <v>0</v>
      </c>
      <c r="J288" s="29"/>
    </row>
    <row r="289" spans="1:10" ht="13.5" hidden="1" outlineLevel="1" x14ac:dyDescent="0.25">
      <c r="A289" s="2"/>
      <c r="B289" s="70" t="s">
        <v>197</v>
      </c>
      <c r="C289" s="3" t="s">
        <v>0</v>
      </c>
      <c r="D289" s="90">
        <v>6.5</v>
      </c>
      <c r="E289" s="140"/>
      <c r="F289" s="140"/>
      <c r="G289" s="140"/>
      <c r="H289" s="140"/>
      <c r="I289" s="126">
        <f t="shared" si="38"/>
        <v>0</v>
      </c>
      <c r="J289" s="29"/>
    </row>
    <row r="290" spans="1:10" ht="13.5" hidden="1" outlineLevel="1" x14ac:dyDescent="0.25">
      <c r="A290" s="2"/>
      <c r="B290" s="70" t="s">
        <v>205</v>
      </c>
      <c r="C290" s="3" t="s">
        <v>28</v>
      </c>
      <c r="D290" s="90">
        <v>1</v>
      </c>
      <c r="E290" s="140"/>
      <c r="F290" s="140"/>
      <c r="G290" s="140"/>
      <c r="H290" s="140"/>
      <c r="I290" s="126"/>
      <c r="J290" s="29"/>
    </row>
    <row r="291" spans="1:10" ht="13.5" hidden="1" outlineLevel="1" x14ac:dyDescent="0.25">
      <c r="A291" s="2"/>
      <c r="B291" s="70" t="s">
        <v>206</v>
      </c>
      <c r="C291" s="3" t="s">
        <v>28</v>
      </c>
      <c r="D291" s="90">
        <v>1</v>
      </c>
      <c r="E291" s="140"/>
      <c r="F291" s="140"/>
      <c r="G291" s="140"/>
      <c r="H291" s="140"/>
      <c r="I291" s="126"/>
      <c r="J291" s="29"/>
    </row>
    <row r="292" spans="1:10" ht="25.5" hidden="1" outlineLevel="1" x14ac:dyDescent="0.25">
      <c r="A292" s="2"/>
      <c r="B292" s="70" t="s">
        <v>289</v>
      </c>
      <c r="C292" s="3" t="s">
        <v>25</v>
      </c>
      <c r="D292" s="90">
        <v>3</v>
      </c>
      <c r="E292" s="140"/>
      <c r="F292" s="140"/>
      <c r="G292" s="140"/>
      <c r="H292" s="140"/>
      <c r="I292" s="126"/>
      <c r="J292" s="29"/>
    </row>
    <row r="293" spans="1:10" ht="13.5" hidden="1" outlineLevel="1" x14ac:dyDescent="0.25">
      <c r="A293" s="2"/>
      <c r="B293" s="167" t="s">
        <v>181</v>
      </c>
      <c r="C293" s="79" t="s">
        <v>25</v>
      </c>
      <c r="D293" s="169">
        <v>5</v>
      </c>
      <c r="E293" s="175"/>
      <c r="F293" s="140"/>
      <c r="G293" s="140"/>
      <c r="H293" s="140"/>
      <c r="I293" s="126">
        <f>G293+H293</f>
        <v>0</v>
      </c>
      <c r="J293" s="29"/>
    </row>
    <row r="294" spans="1:10" ht="13.5" hidden="1" outlineLevel="1" x14ac:dyDescent="0.25">
      <c r="A294" s="2"/>
      <c r="B294" s="170" t="s">
        <v>288</v>
      </c>
      <c r="C294" s="44" t="s">
        <v>25</v>
      </c>
      <c r="D294" s="169">
        <v>7</v>
      </c>
      <c r="E294" s="175"/>
      <c r="F294" s="140"/>
      <c r="G294" s="140"/>
      <c r="H294" s="140"/>
      <c r="I294" s="126"/>
      <c r="J294" s="29"/>
    </row>
    <row r="295" spans="1:10" ht="13.5" hidden="1" outlineLevel="1" x14ac:dyDescent="0.25">
      <c r="A295" s="2"/>
      <c r="B295" s="167" t="s">
        <v>38</v>
      </c>
      <c r="C295" s="79" t="s">
        <v>25</v>
      </c>
      <c r="D295" s="169">
        <v>7.7</v>
      </c>
      <c r="E295" s="175"/>
      <c r="F295" s="140"/>
      <c r="G295" s="140"/>
      <c r="H295" s="140"/>
      <c r="I295" s="126">
        <f>G295+H295</f>
        <v>0</v>
      </c>
      <c r="J295" s="29"/>
    </row>
    <row r="296" spans="1:10" s="84" customFormat="1" hidden="1" outlineLevel="1" x14ac:dyDescent="0.25">
      <c r="A296" s="96"/>
      <c r="B296" s="148" t="s">
        <v>284</v>
      </c>
      <c r="C296" s="180" t="s">
        <v>25</v>
      </c>
      <c r="D296" s="181">
        <v>7</v>
      </c>
      <c r="E296" s="141"/>
      <c r="F296" s="140"/>
      <c r="G296" s="129"/>
      <c r="H296" s="129"/>
      <c r="I296" s="126">
        <f t="shared" ref="I296" si="39">G296+H296</f>
        <v>0</v>
      </c>
      <c r="J296" s="83"/>
    </row>
    <row r="297" spans="1:10" ht="13.5" hidden="1" outlineLevel="1" x14ac:dyDescent="0.25">
      <c r="A297" s="40" t="s">
        <v>256</v>
      </c>
      <c r="B297" s="89" t="s">
        <v>226</v>
      </c>
      <c r="C297" s="3"/>
      <c r="D297" s="90"/>
      <c r="E297" s="140"/>
      <c r="F297" s="140"/>
      <c r="G297" s="140"/>
      <c r="H297" s="140"/>
      <c r="I297" s="126"/>
      <c r="J297" s="29"/>
    </row>
    <row r="298" spans="1:10" ht="13.5" hidden="1" outlineLevel="1" x14ac:dyDescent="0.25">
      <c r="A298" s="2"/>
      <c r="B298" s="168" t="s">
        <v>37</v>
      </c>
      <c r="C298" s="3" t="s">
        <v>30</v>
      </c>
      <c r="D298" s="77">
        <v>54</v>
      </c>
      <c r="E298" s="140"/>
      <c r="F298" s="140"/>
      <c r="G298" s="140"/>
      <c r="H298" s="140"/>
      <c r="I298" s="126">
        <f t="shared" si="38"/>
        <v>0</v>
      </c>
      <c r="J298" s="29"/>
    </row>
    <row r="299" spans="1:10" ht="13.5" hidden="1" outlineLevel="1" x14ac:dyDescent="0.25">
      <c r="A299" s="2"/>
      <c r="B299" s="70" t="s">
        <v>145</v>
      </c>
      <c r="C299" s="3" t="s">
        <v>0</v>
      </c>
      <c r="D299" s="90">
        <v>6.5</v>
      </c>
      <c r="E299" s="140"/>
      <c r="F299" s="140"/>
      <c r="G299" s="140"/>
      <c r="H299" s="140"/>
      <c r="I299" s="126">
        <f t="shared" si="38"/>
        <v>0</v>
      </c>
      <c r="J299" s="29"/>
    </row>
    <row r="300" spans="1:10" ht="13.5" hidden="1" outlineLevel="1" x14ac:dyDescent="0.25">
      <c r="A300" s="2"/>
      <c r="B300" s="70" t="s">
        <v>146</v>
      </c>
      <c r="C300" s="3" t="s">
        <v>0</v>
      </c>
      <c r="D300" s="90">
        <v>6.5</v>
      </c>
      <c r="E300" s="140"/>
      <c r="F300" s="140"/>
      <c r="G300" s="140"/>
      <c r="H300" s="140"/>
      <c r="I300" s="126">
        <f t="shared" si="38"/>
        <v>0</v>
      </c>
      <c r="J300" s="29"/>
    </row>
    <row r="301" spans="1:10" ht="13.5" hidden="1" outlineLevel="1" x14ac:dyDescent="0.25">
      <c r="A301" s="2"/>
      <c r="B301" s="70" t="s">
        <v>197</v>
      </c>
      <c r="C301" s="3" t="s">
        <v>0</v>
      </c>
      <c r="D301" s="90">
        <v>6.5</v>
      </c>
      <c r="E301" s="140"/>
      <c r="F301" s="140"/>
      <c r="G301" s="140"/>
      <c r="H301" s="140"/>
      <c r="I301" s="126">
        <f t="shared" si="38"/>
        <v>0</v>
      </c>
      <c r="J301" s="29"/>
    </row>
    <row r="302" spans="1:10" ht="13.5" hidden="1" outlineLevel="1" x14ac:dyDescent="0.25">
      <c r="A302" s="2"/>
      <c r="B302" s="70" t="s">
        <v>205</v>
      </c>
      <c r="C302" s="3" t="s">
        <v>28</v>
      </c>
      <c r="D302" s="90">
        <v>1</v>
      </c>
      <c r="E302" s="140"/>
      <c r="F302" s="140"/>
      <c r="G302" s="140"/>
      <c r="H302" s="140"/>
      <c r="I302" s="126">
        <f t="shared" si="38"/>
        <v>0</v>
      </c>
      <c r="J302" s="29"/>
    </row>
    <row r="303" spans="1:10" ht="13.5" hidden="1" outlineLevel="1" x14ac:dyDescent="0.25">
      <c r="A303" s="2"/>
      <c r="B303" s="70" t="s">
        <v>206</v>
      </c>
      <c r="C303" s="3" t="s">
        <v>28</v>
      </c>
      <c r="D303" s="90">
        <v>1</v>
      </c>
      <c r="E303" s="140"/>
      <c r="F303" s="140"/>
      <c r="G303" s="140"/>
      <c r="H303" s="140"/>
      <c r="I303" s="126"/>
      <c r="J303" s="29"/>
    </row>
    <row r="304" spans="1:10" ht="25.5" hidden="1" outlineLevel="1" x14ac:dyDescent="0.25">
      <c r="A304" s="2"/>
      <c r="B304" s="70" t="s">
        <v>290</v>
      </c>
      <c r="C304" s="3" t="s">
        <v>25</v>
      </c>
      <c r="D304" s="90">
        <v>54</v>
      </c>
      <c r="E304" s="140"/>
      <c r="F304" s="140"/>
      <c r="G304" s="140"/>
      <c r="H304" s="140"/>
      <c r="I304" s="126"/>
      <c r="J304" s="29"/>
    </row>
    <row r="305" spans="1:10" ht="13.5" hidden="1" outlineLevel="1" x14ac:dyDescent="0.25">
      <c r="A305" s="2"/>
      <c r="B305" s="91" t="s">
        <v>38</v>
      </c>
      <c r="C305" s="44" t="s">
        <v>25</v>
      </c>
      <c r="D305" s="169">
        <v>56</v>
      </c>
      <c r="E305" s="140"/>
      <c r="F305" s="140"/>
      <c r="G305" s="140"/>
      <c r="H305" s="140"/>
      <c r="I305" s="126">
        <f>G305+H305</f>
        <v>0</v>
      </c>
      <c r="J305" s="29"/>
    </row>
    <row r="306" spans="1:10" s="84" customFormat="1" hidden="1" outlineLevel="1" x14ac:dyDescent="0.25">
      <c r="A306" s="96"/>
      <c r="B306" s="148" t="s">
        <v>285</v>
      </c>
      <c r="C306" s="180" t="s">
        <v>25</v>
      </c>
      <c r="D306" s="181">
        <v>56</v>
      </c>
      <c r="E306" s="141"/>
      <c r="F306" s="140"/>
      <c r="G306" s="129"/>
      <c r="H306" s="129"/>
      <c r="I306" s="126">
        <f t="shared" si="38"/>
        <v>0</v>
      </c>
      <c r="J306" s="83"/>
    </row>
    <row r="307" spans="1:10" ht="13.5" hidden="1" outlineLevel="1" x14ac:dyDescent="0.25">
      <c r="A307" s="40" t="s">
        <v>257</v>
      </c>
      <c r="B307" s="89" t="s">
        <v>227</v>
      </c>
      <c r="C307" s="3"/>
      <c r="D307" s="90"/>
      <c r="E307" s="140"/>
      <c r="F307" s="140"/>
      <c r="G307" s="140"/>
      <c r="H307" s="140"/>
      <c r="I307" s="126"/>
      <c r="J307" s="29"/>
    </row>
    <row r="308" spans="1:10" ht="13.5" hidden="1" outlineLevel="1" x14ac:dyDescent="0.25">
      <c r="A308" s="2"/>
      <c r="B308" s="168" t="s">
        <v>182</v>
      </c>
      <c r="C308" s="3" t="s">
        <v>30</v>
      </c>
      <c r="D308" s="77">
        <v>3</v>
      </c>
      <c r="E308" s="140"/>
      <c r="F308" s="140"/>
      <c r="G308" s="140"/>
      <c r="H308" s="140"/>
      <c r="I308" s="126">
        <f t="shared" si="38"/>
        <v>0</v>
      </c>
      <c r="J308" s="29"/>
    </row>
    <row r="309" spans="1:10" ht="13.5" hidden="1" outlineLevel="1" x14ac:dyDescent="0.25">
      <c r="A309" s="2"/>
      <c r="B309" s="170" t="s">
        <v>145</v>
      </c>
      <c r="C309" s="3" t="s">
        <v>0</v>
      </c>
      <c r="D309" s="90">
        <v>6.5</v>
      </c>
      <c r="E309" s="140"/>
      <c r="F309" s="140"/>
      <c r="G309" s="140"/>
      <c r="H309" s="140"/>
      <c r="I309" s="126">
        <f t="shared" si="38"/>
        <v>0</v>
      </c>
      <c r="J309" s="29"/>
    </row>
    <row r="310" spans="1:10" ht="13.5" hidden="1" outlineLevel="1" x14ac:dyDescent="0.25">
      <c r="A310" s="2"/>
      <c r="B310" s="170" t="s">
        <v>146</v>
      </c>
      <c r="C310" s="3" t="s">
        <v>0</v>
      </c>
      <c r="D310" s="90">
        <v>6.5</v>
      </c>
      <c r="E310" s="140"/>
      <c r="F310" s="140"/>
      <c r="G310" s="140"/>
      <c r="H310" s="140"/>
      <c r="I310" s="126">
        <f t="shared" si="38"/>
        <v>0</v>
      </c>
      <c r="J310" s="29"/>
    </row>
    <row r="311" spans="1:10" ht="13.5" hidden="1" outlineLevel="1" x14ac:dyDescent="0.25">
      <c r="A311" s="2"/>
      <c r="B311" s="170" t="s">
        <v>197</v>
      </c>
      <c r="C311" s="3" t="s">
        <v>0</v>
      </c>
      <c r="D311" s="90">
        <v>6.5</v>
      </c>
      <c r="E311" s="140"/>
      <c r="F311" s="140"/>
      <c r="G311" s="140"/>
      <c r="H311" s="140"/>
      <c r="I311" s="126">
        <f t="shared" si="38"/>
        <v>0</v>
      </c>
      <c r="J311" s="29"/>
    </row>
    <row r="312" spans="1:10" ht="13.5" hidden="1" outlineLevel="1" x14ac:dyDescent="0.25">
      <c r="A312" s="2"/>
      <c r="B312" s="170" t="s">
        <v>205</v>
      </c>
      <c r="C312" s="3" t="s">
        <v>28</v>
      </c>
      <c r="D312" s="90">
        <v>1</v>
      </c>
      <c r="E312" s="140"/>
      <c r="F312" s="140"/>
      <c r="G312" s="140"/>
      <c r="H312" s="140"/>
      <c r="I312" s="126">
        <f t="shared" si="38"/>
        <v>0</v>
      </c>
      <c r="J312" s="29"/>
    </row>
    <row r="313" spans="1:10" ht="13.5" hidden="1" outlineLevel="1" x14ac:dyDescent="0.25">
      <c r="A313" s="2"/>
      <c r="B313" s="170" t="s">
        <v>206</v>
      </c>
      <c r="C313" s="3" t="s">
        <v>28</v>
      </c>
      <c r="D313" s="90">
        <v>1</v>
      </c>
      <c r="E313" s="140"/>
      <c r="F313" s="140"/>
      <c r="G313" s="140"/>
      <c r="H313" s="140"/>
      <c r="I313" s="126"/>
      <c r="J313" s="29"/>
    </row>
    <row r="314" spans="1:10" ht="25.5" hidden="1" outlineLevel="1" x14ac:dyDescent="0.25">
      <c r="A314" s="2"/>
      <c r="B314" s="170" t="s">
        <v>291</v>
      </c>
      <c r="C314" s="3" t="s">
        <v>25</v>
      </c>
      <c r="D314" s="90">
        <v>3</v>
      </c>
      <c r="E314" s="140"/>
      <c r="F314" s="140"/>
      <c r="G314" s="140"/>
      <c r="H314" s="140"/>
      <c r="I314" s="126"/>
      <c r="J314" s="29"/>
    </row>
    <row r="315" spans="1:10" ht="13.5" hidden="1" outlineLevel="1" x14ac:dyDescent="0.25">
      <c r="A315" s="2"/>
      <c r="B315" s="167" t="s">
        <v>38</v>
      </c>
      <c r="C315" s="44" t="s">
        <v>25</v>
      </c>
      <c r="D315" s="169">
        <v>5</v>
      </c>
      <c r="E315" s="140"/>
      <c r="F315" s="140"/>
      <c r="G315" s="140"/>
      <c r="H315" s="140"/>
      <c r="I315" s="126">
        <f>G315+H315</f>
        <v>0</v>
      </c>
      <c r="J315" s="29"/>
    </row>
    <row r="316" spans="1:10" s="84" customFormat="1" hidden="1" outlineLevel="1" x14ac:dyDescent="0.25">
      <c r="A316" s="96"/>
      <c r="B316" s="148" t="s">
        <v>285</v>
      </c>
      <c r="C316" s="180" t="s">
        <v>25</v>
      </c>
      <c r="D316" s="181">
        <v>5</v>
      </c>
      <c r="E316" s="141"/>
      <c r="F316" s="140"/>
      <c r="G316" s="129"/>
      <c r="H316" s="129"/>
      <c r="I316" s="126">
        <f t="shared" ref="I316" si="40">G316+H316</f>
        <v>0</v>
      </c>
      <c r="J316" s="83"/>
    </row>
    <row r="317" spans="1:10" ht="25.5" hidden="1" outlineLevel="1" x14ac:dyDescent="0.25">
      <c r="A317" s="40" t="s">
        <v>258</v>
      </c>
      <c r="B317" s="179" t="s">
        <v>228</v>
      </c>
      <c r="C317" s="3"/>
      <c r="D317" s="90"/>
      <c r="E317" s="140"/>
      <c r="F317" s="140"/>
      <c r="G317" s="140"/>
      <c r="H317" s="140"/>
      <c r="I317" s="126"/>
      <c r="J317" s="29"/>
    </row>
    <row r="318" spans="1:10" ht="13.5" hidden="1" outlineLevel="1" x14ac:dyDescent="0.25">
      <c r="A318" s="2"/>
      <c r="B318" s="168" t="s">
        <v>90</v>
      </c>
      <c r="C318" s="3" t="s">
        <v>30</v>
      </c>
      <c r="D318" s="77">
        <v>16</v>
      </c>
      <c r="E318" s="140"/>
      <c r="F318" s="140"/>
      <c r="G318" s="140"/>
      <c r="H318" s="140"/>
      <c r="I318" s="126">
        <f t="shared" si="38"/>
        <v>0</v>
      </c>
      <c r="J318" s="29"/>
    </row>
    <row r="319" spans="1:10" ht="13.5" hidden="1" outlineLevel="1" x14ac:dyDescent="0.25">
      <c r="A319" s="2"/>
      <c r="B319" s="70" t="s">
        <v>145</v>
      </c>
      <c r="C319" s="3" t="s">
        <v>0</v>
      </c>
      <c r="D319" s="90">
        <v>6.5</v>
      </c>
      <c r="E319" s="140"/>
      <c r="F319" s="140"/>
      <c r="G319" s="140"/>
      <c r="H319" s="140"/>
      <c r="I319" s="126">
        <f t="shared" si="38"/>
        <v>0</v>
      </c>
      <c r="J319" s="29"/>
    </row>
    <row r="320" spans="1:10" ht="13.5" hidden="1" outlineLevel="1" x14ac:dyDescent="0.25">
      <c r="A320" s="2"/>
      <c r="B320" s="70" t="s">
        <v>146</v>
      </c>
      <c r="C320" s="3" t="s">
        <v>0</v>
      </c>
      <c r="D320" s="90">
        <v>6.5</v>
      </c>
      <c r="E320" s="140"/>
      <c r="F320" s="140"/>
      <c r="G320" s="140"/>
      <c r="H320" s="140"/>
      <c r="I320" s="126">
        <f t="shared" si="38"/>
        <v>0</v>
      </c>
      <c r="J320" s="29"/>
    </row>
    <row r="321" spans="1:11" ht="13.5" hidden="1" outlineLevel="1" x14ac:dyDescent="0.25">
      <c r="A321" s="2"/>
      <c r="B321" s="70" t="s">
        <v>197</v>
      </c>
      <c r="C321" s="3" t="s">
        <v>0</v>
      </c>
      <c r="D321" s="90">
        <v>6.5</v>
      </c>
      <c r="E321" s="140"/>
      <c r="F321" s="140"/>
      <c r="G321" s="140"/>
      <c r="H321" s="140"/>
      <c r="I321" s="126">
        <f t="shared" si="38"/>
        <v>0</v>
      </c>
      <c r="J321" s="29"/>
    </row>
    <row r="322" spans="1:11" ht="13.5" hidden="1" outlineLevel="1" x14ac:dyDescent="0.25">
      <c r="A322" s="2"/>
      <c r="B322" s="70" t="s">
        <v>205</v>
      </c>
      <c r="C322" s="3" t="s">
        <v>28</v>
      </c>
      <c r="D322" s="90">
        <v>1</v>
      </c>
      <c r="E322" s="140"/>
      <c r="F322" s="140"/>
      <c r="G322" s="140"/>
      <c r="H322" s="140"/>
      <c r="I322" s="126">
        <f t="shared" si="38"/>
        <v>0</v>
      </c>
      <c r="J322" s="29"/>
    </row>
    <row r="323" spans="1:11" ht="13.5" hidden="1" outlineLevel="1" x14ac:dyDescent="0.25">
      <c r="A323" s="2"/>
      <c r="B323" s="70" t="s">
        <v>206</v>
      </c>
      <c r="C323" s="3" t="s">
        <v>28</v>
      </c>
      <c r="D323" s="90">
        <v>1</v>
      </c>
      <c r="E323" s="140"/>
      <c r="F323" s="140"/>
      <c r="G323" s="140"/>
      <c r="H323" s="140"/>
      <c r="I323" s="126"/>
      <c r="J323" s="29"/>
    </row>
    <row r="324" spans="1:11" ht="25.5" hidden="1" outlineLevel="1" x14ac:dyDescent="0.25">
      <c r="A324" s="2"/>
      <c r="B324" s="70" t="s">
        <v>292</v>
      </c>
      <c r="C324" s="3" t="s">
        <v>25</v>
      </c>
      <c r="D324" s="90">
        <v>16</v>
      </c>
      <c r="E324" s="140"/>
      <c r="F324" s="140"/>
      <c r="G324" s="140"/>
      <c r="H324" s="140"/>
      <c r="I324" s="126"/>
      <c r="J324" s="29"/>
    </row>
    <row r="325" spans="1:11" ht="13.5" hidden="1" outlineLevel="1" x14ac:dyDescent="0.25">
      <c r="A325" s="2"/>
      <c r="B325" s="167" t="s">
        <v>38</v>
      </c>
      <c r="C325" s="44" t="s">
        <v>25</v>
      </c>
      <c r="D325" s="169">
        <v>18</v>
      </c>
      <c r="E325" s="140"/>
      <c r="F325" s="140"/>
      <c r="G325" s="140"/>
      <c r="H325" s="140"/>
      <c r="I325" s="126">
        <f>G325+H325</f>
        <v>0</v>
      </c>
      <c r="J325" s="29"/>
    </row>
    <row r="326" spans="1:11" s="84" customFormat="1" hidden="1" outlineLevel="1" x14ac:dyDescent="0.25">
      <c r="A326" s="96"/>
      <c r="B326" s="170" t="s">
        <v>285</v>
      </c>
      <c r="C326" s="180" t="s">
        <v>25</v>
      </c>
      <c r="D326" s="181">
        <v>18</v>
      </c>
      <c r="E326" s="141"/>
      <c r="F326" s="140"/>
      <c r="G326" s="129"/>
      <c r="H326" s="129"/>
      <c r="I326" s="126">
        <f t="shared" si="38"/>
        <v>0</v>
      </c>
      <c r="J326" s="83"/>
    </row>
    <row r="327" spans="1:11" ht="13.5" collapsed="1" x14ac:dyDescent="0.2">
      <c r="A327" s="40" t="s">
        <v>44</v>
      </c>
      <c r="B327" s="57" t="s">
        <v>302</v>
      </c>
      <c r="C327" s="94" t="s">
        <v>111</v>
      </c>
      <c r="D327" s="124">
        <v>8</v>
      </c>
      <c r="E327" s="140">
        <f>G327/D327</f>
        <v>74138.184000000008</v>
      </c>
      <c r="F327" s="173">
        <f>H327/D327</f>
        <v>50056.655999999988</v>
      </c>
      <c r="G327" s="129">
        <f>(60591.05+44585.68+24546.73+2613.4+40287.03+24966.29+56179.06+21309.36+400.46+40336.89+76252.82+102185.79)*1.2</f>
        <v>593105.47200000007</v>
      </c>
      <c r="H327" s="129">
        <f>993558.72-G327</f>
        <v>400453.24799999991</v>
      </c>
      <c r="I327" s="126">
        <f t="shared" ref="I327:I341" si="41">G327+H327</f>
        <v>993558.72</v>
      </c>
      <c r="J327" s="29"/>
    </row>
    <row r="328" spans="1:11" ht="25.5" hidden="1" outlineLevel="1" x14ac:dyDescent="0.25">
      <c r="A328" s="2" t="s">
        <v>109</v>
      </c>
      <c r="B328" s="70" t="s">
        <v>230</v>
      </c>
      <c r="C328" s="3" t="s">
        <v>0</v>
      </c>
      <c r="D328" s="90">
        <f>D331+D329+D332+D330+D333+D336</f>
        <v>16.560000000000002</v>
      </c>
      <c r="E328" s="129"/>
      <c r="F328" s="129"/>
      <c r="G328" s="129"/>
      <c r="H328" s="129"/>
      <c r="I328" s="126"/>
      <c r="J328" s="29"/>
    </row>
    <row r="329" spans="1:11" s="22" customFormat="1" hidden="1" outlineLevel="1" x14ac:dyDescent="0.25">
      <c r="A329" s="72"/>
      <c r="B329" s="78" t="s">
        <v>236</v>
      </c>
      <c r="C329" s="79" t="s">
        <v>0</v>
      </c>
      <c r="D329" s="85">
        <f>0.4*16</f>
        <v>6.4</v>
      </c>
      <c r="E329" s="141"/>
      <c r="F329" s="140"/>
      <c r="G329" s="140"/>
      <c r="H329" s="140"/>
      <c r="I329" s="126">
        <f t="shared" si="41"/>
        <v>0</v>
      </c>
      <c r="J329" s="21"/>
    </row>
    <row r="330" spans="1:11" s="22" customFormat="1" hidden="1" outlineLevel="1" x14ac:dyDescent="0.25">
      <c r="A330" s="72"/>
      <c r="B330" s="78" t="s">
        <v>237</v>
      </c>
      <c r="C330" s="79" t="s">
        <v>0</v>
      </c>
      <c r="D330" s="85">
        <f>0.05*8</f>
        <v>0.4</v>
      </c>
      <c r="E330" s="141"/>
      <c r="F330" s="140"/>
      <c r="G330" s="140"/>
      <c r="H330" s="140"/>
      <c r="I330" s="126">
        <f t="shared" si="41"/>
        <v>0</v>
      </c>
      <c r="J330" s="21"/>
      <c r="K330" s="145"/>
    </row>
    <row r="331" spans="1:11" s="22" customFormat="1" hidden="1" outlineLevel="1" x14ac:dyDescent="0.25">
      <c r="A331" s="72"/>
      <c r="B331" s="78" t="s">
        <v>233</v>
      </c>
      <c r="C331" s="79" t="s">
        <v>0</v>
      </c>
      <c r="D331" s="85">
        <f>0.38*8</f>
        <v>3.04</v>
      </c>
      <c r="E331" s="141"/>
      <c r="F331" s="140"/>
      <c r="G331" s="140"/>
      <c r="H331" s="140"/>
      <c r="I331" s="126">
        <f t="shared" si="41"/>
        <v>0</v>
      </c>
      <c r="J331" s="21"/>
    </row>
    <row r="332" spans="1:11" s="22" customFormat="1" hidden="1" outlineLevel="1" x14ac:dyDescent="0.25">
      <c r="A332" s="72"/>
      <c r="B332" s="78" t="s">
        <v>234</v>
      </c>
      <c r="C332" s="79" t="s">
        <v>0</v>
      </c>
      <c r="D332" s="85">
        <f>0.27*8</f>
        <v>2.16</v>
      </c>
      <c r="E332" s="141"/>
      <c r="F332" s="140"/>
      <c r="G332" s="140"/>
      <c r="H332" s="140"/>
      <c r="I332" s="126">
        <f t="shared" si="41"/>
        <v>0</v>
      </c>
      <c r="J332" s="21"/>
    </row>
    <row r="333" spans="1:11" s="22" customFormat="1" hidden="1" outlineLevel="1" x14ac:dyDescent="0.25">
      <c r="A333" s="72"/>
      <c r="B333" s="78" t="s">
        <v>238</v>
      </c>
      <c r="C333" s="79" t="s">
        <v>0</v>
      </c>
      <c r="D333" s="85">
        <f>0.02*8</f>
        <v>0.16</v>
      </c>
      <c r="E333" s="141"/>
      <c r="F333" s="140"/>
      <c r="G333" s="140"/>
      <c r="H333" s="140"/>
      <c r="I333" s="126">
        <f t="shared" si="41"/>
        <v>0</v>
      </c>
      <c r="J333" s="21"/>
    </row>
    <row r="334" spans="1:11" s="22" customFormat="1" hidden="1" outlineLevel="1" x14ac:dyDescent="0.25">
      <c r="A334" s="72"/>
      <c r="B334" s="160" t="s">
        <v>35</v>
      </c>
      <c r="C334" s="79" t="s">
        <v>28</v>
      </c>
      <c r="D334" s="161">
        <v>5</v>
      </c>
      <c r="E334" s="141"/>
      <c r="F334" s="140"/>
      <c r="G334" s="140"/>
      <c r="H334" s="140"/>
      <c r="I334" s="126">
        <f t="shared" si="41"/>
        <v>0</v>
      </c>
      <c r="J334" s="21"/>
    </row>
    <row r="335" spans="1:11" s="22" customFormat="1" hidden="1" outlineLevel="1" x14ac:dyDescent="0.25">
      <c r="A335" s="72"/>
      <c r="B335" s="160" t="s">
        <v>239</v>
      </c>
      <c r="C335" s="79" t="s">
        <v>28</v>
      </c>
      <c r="D335" s="161">
        <v>3</v>
      </c>
      <c r="E335" s="141"/>
      <c r="F335" s="140"/>
      <c r="G335" s="140"/>
      <c r="H335" s="140"/>
      <c r="I335" s="126">
        <f t="shared" si="41"/>
        <v>0</v>
      </c>
      <c r="J335" s="21"/>
    </row>
    <row r="336" spans="1:11" ht="13.5" hidden="1" outlineLevel="1" x14ac:dyDescent="0.25">
      <c r="A336" s="2"/>
      <c r="B336" s="236" t="s">
        <v>240</v>
      </c>
      <c r="C336" s="44" t="s">
        <v>0</v>
      </c>
      <c r="D336" s="92">
        <f>0.55*8</f>
        <v>4.4000000000000004</v>
      </c>
      <c r="E336" s="140"/>
      <c r="F336" s="140"/>
      <c r="G336" s="140"/>
      <c r="H336" s="140"/>
      <c r="I336" s="126">
        <f>G336+H336</f>
        <v>0</v>
      </c>
      <c r="J336" s="29"/>
    </row>
    <row r="337" spans="1:11" s="22" customFormat="1" hidden="1" outlineLevel="1" x14ac:dyDescent="0.25">
      <c r="A337" s="72"/>
      <c r="B337" s="78" t="s">
        <v>241</v>
      </c>
      <c r="C337" s="79" t="s">
        <v>29</v>
      </c>
      <c r="D337" s="161">
        <f>3*16.25</f>
        <v>48.75</v>
      </c>
      <c r="E337" s="141"/>
      <c r="F337" s="140"/>
      <c r="G337" s="140"/>
      <c r="H337" s="140"/>
      <c r="I337" s="126">
        <f t="shared" si="41"/>
        <v>0</v>
      </c>
      <c r="J337" s="21"/>
    </row>
    <row r="338" spans="1:11" s="22" customFormat="1" hidden="1" outlineLevel="1" x14ac:dyDescent="0.25">
      <c r="A338" s="72"/>
      <c r="B338" s="78" t="s">
        <v>242</v>
      </c>
      <c r="C338" s="79" t="s">
        <v>29</v>
      </c>
      <c r="D338" s="161">
        <f>2*21.7</f>
        <v>43.4</v>
      </c>
      <c r="E338" s="141"/>
      <c r="F338" s="140"/>
      <c r="G338" s="140"/>
      <c r="H338" s="140"/>
      <c r="I338" s="126">
        <f t="shared" si="41"/>
        <v>0</v>
      </c>
      <c r="J338" s="21"/>
    </row>
    <row r="339" spans="1:11" ht="13.5" hidden="1" outlineLevel="1" x14ac:dyDescent="0.25">
      <c r="A339" s="2"/>
      <c r="B339" s="78" t="s">
        <v>243</v>
      </c>
      <c r="C339" s="79" t="s">
        <v>29</v>
      </c>
      <c r="D339" s="48">
        <f>3*33.8</f>
        <v>101.39999999999999</v>
      </c>
      <c r="E339" s="140"/>
      <c r="F339" s="140"/>
      <c r="G339" s="140"/>
      <c r="H339" s="140"/>
      <c r="I339" s="126">
        <f t="shared" si="41"/>
        <v>0</v>
      </c>
      <c r="J339" s="29"/>
    </row>
    <row r="340" spans="1:11" ht="13.5" hidden="1" outlineLevel="1" x14ac:dyDescent="0.25">
      <c r="A340" s="2"/>
      <c r="B340" s="167" t="s">
        <v>174</v>
      </c>
      <c r="C340" s="44" t="s">
        <v>28</v>
      </c>
      <c r="D340" s="48">
        <v>12</v>
      </c>
      <c r="E340" s="140"/>
      <c r="F340" s="140"/>
      <c r="G340" s="140"/>
      <c r="H340" s="140"/>
      <c r="I340" s="126">
        <f t="shared" si="41"/>
        <v>0</v>
      </c>
      <c r="J340" s="29"/>
    </row>
    <row r="341" spans="1:11" ht="13.5" hidden="1" outlineLevel="1" x14ac:dyDescent="0.25">
      <c r="A341" s="2"/>
      <c r="B341" s="167" t="s">
        <v>34</v>
      </c>
      <c r="C341" s="44" t="s">
        <v>28</v>
      </c>
      <c r="D341" s="161">
        <v>4</v>
      </c>
      <c r="E341" s="140"/>
      <c r="F341" s="140"/>
      <c r="G341" s="140"/>
      <c r="H341" s="140"/>
      <c r="I341" s="126">
        <f t="shared" si="41"/>
        <v>0</v>
      </c>
      <c r="J341" s="29"/>
    </row>
    <row r="342" spans="1:11" ht="13.5" hidden="1" outlineLevel="1" x14ac:dyDescent="0.25">
      <c r="A342" s="2" t="s">
        <v>203</v>
      </c>
      <c r="B342" s="70" t="s">
        <v>32</v>
      </c>
      <c r="C342" s="48" t="s">
        <v>10</v>
      </c>
      <c r="D342" s="90">
        <f>12.72*8</f>
        <v>101.76</v>
      </c>
      <c r="E342" s="140"/>
      <c r="F342" s="140"/>
      <c r="G342" s="140"/>
      <c r="H342" s="140"/>
      <c r="I342" s="126">
        <f>G342+H342</f>
        <v>0</v>
      </c>
      <c r="J342" s="29"/>
    </row>
    <row r="343" spans="1:11" ht="13.5" hidden="1" outlineLevel="1" x14ac:dyDescent="0.25">
      <c r="A343" s="2"/>
      <c r="B343" s="91" t="s">
        <v>163</v>
      </c>
      <c r="C343" s="44" t="s">
        <v>29</v>
      </c>
      <c r="D343" s="92">
        <v>244.22</v>
      </c>
      <c r="E343" s="140"/>
      <c r="F343" s="140"/>
      <c r="G343" s="140"/>
      <c r="H343" s="140"/>
      <c r="I343" s="126">
        <f>G343+H343</f>
        <v>0</v>
      </c>
      <c r="J343" s="29"/>
    </row>
    <row r="344" spans="1:11" ht="13.5" hidden="1" outlineLevel="1" x14ac:dyDescent="0.25">
      <c r="A344" s="2"/>
      <c r="B344" s="170" t="s">
        <v>216</v>
      </c>
      <c r="C344" s="3" t="s">
        <v>28</v>
      </c>
      <c r="D344" s="161">
        <f>D345+D346</f>
        <v>16</v>
      </c>
      <c r="E344" s="140"/>
      <c r="F344" s="140"/>
      <c r="G344" s="140"/>
      <c r="H344" s="140"/>
      <c r="I344" s="126"/>
      <c r="J344" s="29"/>
    </row>
    <row r="345" spans="1:11" ht="13.5" hidden="1" outlineLevel="1" x14ac:dyDescent="0.25">
      <c r="A345" s="2"/>
      <c r="B345" s="167" t="s">
        <v>176</v>
      </c>
      <c r="C345" s="44" t="s">
        <v>28</v>
      </c>
      <c r="D345" s="161">
        <v>14</v>
      </c>
      <c r="E345" s="140"/>
      <c r="F345" s="140"/>
      <c r="G345" s="140"/>
      <c r="H345" s="140"/>
      <c r="I345" s="126"/>
      <c r="J345" s="29"/>
    </row>
    <row r="346" spans="1:11" ht="13.5" hidden="1" outlineLevel="1" x14ac:dyDescent="0.25">
      <c r="A346" s="2"/>
      <c r="B346" s="167" t="s">
        <v>177</v>
      </c>
      <c r="C346" s="44" t="s">
        <v>28</v>
      </c>
      <c r="D346" s="161">
        <v>2</v>
      </c>
      <c r="E346" s="140"/>
      <c r="F346" s="140"/>
      <c r="G346" s="140"/>
      <c r="H346" s="140"/>
      <c r="I346" s="126"/>
      <c r="J346" s="29"/>
    </row>
    <row r="347" spans="1:11" ht="13.5" collapsed="1" x14ac:dyDescent="0.25">
      <c r="A347" s="40" t="s">
        <v>107</v>
      </c>
      <c r="B347" s="41" t="s">
        <v>244</v>
      </c>
      <c r="C347" s="94" t="s">
        <v>272</v>
      </c>
      <c r="D347" s="95">
        <f>D350+D348</f>
        <v>19.5</v>
      </c>
      <c r="E347" s="140">
        <f>G347/D347</f>
        <v>7846.26623931624</v>
      </c>
      <c r="F347" s="173">
        <f>H347/D347</f>
        <v>4724.525555555555</v>
      </c>
      <c r="G347" s="239">
        <f>(35181.54+148421.09)/1.2</f>
        <v>153002.19166666668</v>
      </c>
      <c r="H347" s="239">
        <f>245130.44-G347</f>
        <v>92128.248333333322</v>
      </c>
      <c r="I347" s="126">
        <f t="shared" ref="I347" si="42">G347+H347</f>
        <v>245130.44</v>
      </c>
      <c r="J347" s="65"/>
      <c r="K347" s="5"/>
    </row>
    <row r="348" spans="1:11" ht="13.5" hidden="1" outlineLevel="1" x14ac:dyDescent="0.25">
      <c r="A348" s="2" t="s">
        <v>255</v>
      </c>
      <c r="B348" s="168" t="s">
        <v>298</v>
      </c>
      <c r="C348" s="44" t="s">
        <v>25</v>
      </c>
      <c r="D348" s="169">
        <v>9.5</v>
      </c>
      <c r="E348" s="65"/>
      <c r="F348" s="65"/>
      <c r="G348" s="241"/>
      <c r="H348" s="65"/>
      <c r="I348" s="65"/>
      <c r="J348" s="65"/>
      <c r="K348" s="5"/>
    </row>
    <row r="349" spans="1:11" ht="13.5" hidden="1" outlineLevel="1" x14ac:dyDescent="0.25">
      <c r="A349" s="2"/>
      <c r="B349" s="171" t="s">
        <v>189</v>
      </c>
      <c r="C349" s="44" t="s">
        <v>25</v>
      </c>
      <c r="D349" s="169">
        <v>9.5</v>
      </c>
      <c r="E349" s="65"/>
      <c r="F349" s="65"/>
      <c r="G349" s="241"/>
      <c r="H349" s="65"/>
      <c r="I349" s="65"/>
      <c r="J349" s="65"/>
      <c r="K349" s="5"/>
    </row>
    <row r="350" spans="1:11" ht="25.5" hidden="1" outlineLevel="1" x14ac:dyDescent="0.25">
      <c r="A350" s="2" t="s">
        <v>188</v>
      </c>
      <c r="B350" s="99" t="s">
        <v>253</v>
      </c>
      <c r="C350" s="49" t="s">
        <v>25</v>
      </c>
      <c r="D350" s="80">
        <v>10</v>
      </c>
      <c r="E350" s="65"/>
      <c r="F350" s="65"/>
      <c r="G350" s="241"/>
      <c r="H350" s="65"/>
      <c r="I350" s="65"/>
      <c r="J350" s="65"/>
      <c r="K350" s="5"/>
    </row>
    <row r="351" spans="1:11" ht="13.5" hidden="1" outlineLevel="1" x14ac:dyDescent="0.25">
      <c r="A351" s="2"/>
      <c r="B351" s="171" t="s">
        <v>183</v>
      </c>
      <c r="C351" s="44" t="s">
        <v>25</v>
      </c>
      <c r="D351" s="169">
        <v>10.37</v>
      </c>
      <c r="E351" s="65"/>
      <c r="F351" s="65"/>
      <c r="G351" s="241"/>
      <c r="H351" s="65"/>
      <c r="I351" s="65"/>
      <c r="J351" s="65"/>
      <c r="K351" s="5"/>
    </row>
    <row r="352" spans="1:11" s="16" customFormat="1" ht="13.5" collapsed="1" x14ac:dyDescent="0.25">
      <c r="A352" s="184" t="s">
        <v>75</v>
      </c>
      <c r="B352" s="41" t="s">
        <v>299</v>
      </c>
      <c r="C352" s="186" t="s">
        <v>272</v>
      </c>
      <c r="D352" s="187">
        <f>D353+D362+D371+D380+D389</f>
        <v>138</v>
      </c>
      <c r="E352" s="140">
        <f>G352/D352</f>
        <v>26435.361999999994</v>
      </c>
      <c r="F352" s="173">
        <f>H352/D352</f>
        <v>23952.361985507254</v>
      </c>
      <c r="G352" s="242">
        <f>(68658.24+136476.42+521678.07+56174.92+111662.52+426159.55+108188.73+215053.75+793538.48+33288.84+66170.38+264512.83+20805.53+41356.49+176341.88)*1.2</f>
        <v>3648079.9559999993</v>
      </c>
      <c r="H352" s="140">
        <f>6953505.91-G352</f>
        <v>3305425.9540000008</v>
      </c>
      <c r="I352" s="140">
        <f t="shared" ref="I352" si="43">G352+H352</f>
        <v>6953505.9100000001</v>
      </c>
      <c r="J352" s="29"/>
      <c r="K352" s="244"/>
    </row>
    <row r="353" spans="1:10" ht="13.5" hidden="1" outlineLevel="1" x14ac:dyDescent="0.25">
      <c r="A353" s="105" t="s">
        <v>259</v>
      </c>
      <c r="B353" s="99" t="s">
        <v>246</v>
      </c>
      <c r="C353" s="60" t="s">
        <v>30</v>
      </c>
      <c r="D353" s="61">
        <v>33</v>
      </c>
      <c r="E353" s="140"/>
      <c r="F353" s="140"/>
      <c r="G353" s="242"/>
      <c r="H353" s="140"/>
      <c r="I353" s="126">
        <f t="shared" ref="I353:I360" si="44">G353+H353</f>
        <v>0</v>
      </c>
      <c r="J353" s="29"/>
    </row>
    <row r="354" spans="1:10" ht="13.5" hidden="1" outlineLevel="1" x14ac:dyDescent="0.25">
      <c r="A354" s="2"/>
      <c r="B354" s="70" t="s">
        <v>145</v>
      </c>
      <c r="C354" s="3" t="s">
        <v>0</v>
      </c>
      <c r="D354" s="90">
        <v>6.5</v>
      </c>
      <c r="E354" s="140"/>
      <c r="F354" s="140"/>
      <c r="G354" s="242"/>
      <c r="H354" s="140"/>
      <c r="I354" s="126">
        <f t="shared" si="44"/>
        <v>0</v>
      </c>
      <c r="J354" s="29"/>
    </row>
    <row r="355" spans="1:10" ht="13.5" hidden="1" outlineLevel="1" x14ac:dyDescent="0.25">
      <c r="A355" s="2"/>
      <c r="B355" s="70" t="s">
        <v>146</v>
      </c>
      <c r="C355" s="3" t="s">
        <v>0</v>
      </c>
      <c r="D355" s="90">
        <v>6.5</v>
      </c>
      <c r="E355" s="140"/>
      <c r="F355" s="140"/>
      <c r="G355" s="242"/>
      <c r="H355" s="140"/>
      <c r="I355" s="126">
        <f t="shared" si="44"/>
        <v>0</v>
      </c>
      <c r="J355" s="29"/>
    </row>
    <row r="356" spans="1:10" ht="13.5" hidden="1" outlineLevel="1" x14ac:dyDescent="0.25">
      <c r="A356" s="2"/>
      <c r="B356" s="70" t="s">
        <v>197</v>
      </c>
      <c r="C356" s="3" t="s">
        <v>0</v>
      </c>
      <c r="D356" s="90">
        <v>6.5</v>
      </c>
      <c r="E356" s="140"/>
      <c r="F356" s="140"/>
      <c r="G356" s="242"/>
      <c r="H356" s="140"/>
      <c r="I356" s="126">
        <f t="shared" si="44"/>
        <v>0</v>
      </c>
      <c r="J356" s="29"/>
    </row>
    <row r="357" spans="1:10" ht="13.5" hidden="1" outlineLevel="1" x14ac:dyDescent="0.25">
      <c r="A357" s="2"/>
      <c r="B357" s="70" t="s">
        <v>205</v>
      </c>
      <c r="C357" s="3" t="s">
        <v>28</v>
      </c>
      <c r="D357" s="90">
        <v>1</v>
      </c>
      <c r="E357" s="140"/>
      <c r="F357" s="140"/>
      <c r="G357" s="242"/>
      <c r="H357" s="140"/>
      <c r="I357" s="126">
        <f t="shared" si="44"/>
        <v>0</v>
      </c>
      <c r="J357" s="29"/>
    </row>
    <row r="358" spans="1:10" ht="13.5" hidden="1" outlineLevel="1" x14ac:dyDescent="0.25">
      <c r="A358" s="2"/>
      <c r="B358" s="70" t="s">
        <v>206</v>
      </c>
      <c r="C358" s="3" t="s">
        <v>28</v>
      </c>
      <c r="D358" s="90">
        <v>1</v>
      </c>
      <c r="E358" s="140"/>
      <c r="F358" s="140"/>
      <c r="G358" s="242"/>
      <c r="H358" s="140"/>
      <c r="I358" s="126"/>
      <c r="J358" s="29"/>
    </row>
    <row r="359" spans="1:10" ht="25.5" hidden="1" outlineLevel="1" x14ac:dyDescent="0.25">
      <c r="A359" s="2"/>
      <c r="B359" s="70" t="s">
        <v>293</v>
      </c>
      <c r="C359" s="3" t="s">
        <v>25</v>
      </c>
      <c r="D359" s="90">
        <v>33</v>
      </c>
      <c r="E359" s="140"/>
      <c r="F359" s="140"/>
      <c r="G359" s="242"/>
      <c r="H359" s="140"/>
      <c r="I359" s="126"/>
      <c r="J359" s="29"/>
    </row>
    <row r="360" spans="1:10" ht="13.5" hidden="1" outlineLevel="1" x14ac:dyDescent="0.25">
      <c r="A360" s="2"/>
      <c r="B360" s="171" t="s">
        <v>183</v>
      </c>
      <c r="C360" s="44" t="s">
        <v>25</v>
      </c>
      <c r="D360" s="92">
        <v>35.5</v>
      </c>
      <c r="E360" s="140"/>
      <c r="F360" s="140"/>
      <c r="G360" s="242"/>
      <c r="H360" s="140"/>
      <c r="I360" s="126">
        <f t="shared" si="44"/>
        <v>0</v>
      </c>
      <c r="J360" s="29"/>
    </row>
    <row r="361" spans="1:10" s="84" customFormat="1" hidden="1" outlineLevel="1" x14ac:dyDescent="0.25">
      <c r="A361" s="96"/>
      <c r="B361" s="148" t="s">
        <v>245</v>
      </c>
      <c r="C361" s="180" t="s">
        <v>25</v>
      </c>
      <c r="D361" s="181">
        <v>35.5</v>
      </c>
      <c r="E361" s="141"/>
      <c r="F361" s="140"/>
      <c r="G361" s="243"/>
      <c r="H361" s="129"/>
      <c r="I361" s="126">
        <f t="shared" ref="I361" si="45">G361+H361</f>
        <v>0</v>
      </c>
      <c r="J361" s="83"/>
    </row>
    <row r="362" spans="1:10" ht="13.5" hidden="1" outlineLevel="1" x14ac:dyDescent="0.25">
      <c r="A362" s="2" t="s">
        <v>260</v>
      </c>
      <c r="B362" s="99" t="s">
        <v>184</v>
      </c>
      <c r="C362" s="3" t="s">
        <v>30</v>
      </c>
      <c r="D362" s="77">
        <v>27</v>
      </c>
      <c r="E362" s="140"/>
      <c r="F362" s="140"/>
      <c r="G362" s="242"/>
      <c r="H362" s="140"/>
      <c r="I362" s="126">
        <f t="shared" ref="I362:I369" si="46">G362+H362</f>
        <v>0</v>
      </c>
      <c r="J362" s="29"/>
    </row>
    <row r="363" spans="1:10" ht="13.5" hidden="1" outlineLevel="1" x14ac:dyDescent="0.25">
      <c r="A363" s="2"/>
      <c r="B363" s="70" t="s">
        <v>145</v>
      </c>
      <c r="C363" s="3" t="s">
        <v>0</v>
      </c>
      <c r="D363" s="90">
        <v>6.5</v>
      </c>
      <c r="E363" s="140"/>
      <c r="F363" s="140"/>
      <c r="G363" s="242"/>
      <c r="H363" s="140"/>
      <c r="I363" s="126">
        <f t="shared" si="46"/>
        <v>0</v>
      </c>
      <c r="J363" s="29"/>
    </row>
    <row r="364" spans="1:10" ht="13.5" hidden="1" outlineLevel="1" x14ac:dyDescent="0.25">
      <c r="A364" s="2"/>
      <c r="B364" s="70" t="s">
        <v>146</v>
      </c>
      <c r="C364" s="3" t="s">
        <v>0</v>
      </c>
      <c r="D364" s="90">
        <v>6.5</v>
      </c>
      <c r="E364" s="140"/>
      <c r="F364" s="140"/>
      <c r="G364" s="242"/>
      <c r="H364" s="140"/>
      <c r="I364" s="126">
        <f t="shared" si="46"/>
        <v>0</v>
      </c>
      <c r="J364" s="29"/>
    </row>
    <row r="365" spans="1:10" ht="13.5" hidden="1" outlineLevel="1" x14ac:dyDescent="0.25">
      <c r="A365" s="2"/>
      <c r="B365" s="70" t="s">
        <v>197</v>
      </c>
      <c r="C365" s="3" t="s">
        <v>0</v>
      </c>
      <c r="D365" s="90">
        <v>6.5</v>
      </c>
      <c r="E365" s="140"/>
      <c r="F365" s="140"/>
      <c r="G365" s="242"/>
      <c r="H365" s="140"/>
      <c r="I365" s="126">
        <f t="shared" si="46"/>
        <v>0</v>
      </c>
      <c r="J365" s="29"/>
    </row>
    <row r="366" spans="1:10" ht="13.5" hidden="1" outlineLevel="1" x14ac:dyDescent="0.25">
      <c r="A366" s="2"/>
      <c r="B366" s="70" t="s">
        <v>205</v>
      </c>
      <c r="C366" s="3" t="s">
        <v>28</v>
      </c>
      <c r="D366" s="90">
        <v>1</v>
      </c>
      <c r="E366" s="140"/>
      <c r="F366" s="140"/>
      <c r="G366" s="242"/>
      <c r="H366" s="140"/>
      <c r="I366" s="126">
        <f t="shared" si="46"/>
        <v>0</v>
      </c>
      <c r="J366" s="29"/>
    </row>
    <row r="367" spans="1:10" ht="13.5" hidden="1" outlineLevel="1" x14ac:dyDescent="0.25">
      <c r="A367" s="2"/>
      <c r="B367" s="70" t="s">
        <v>206</v>
      </c>
      <c r="C367" s="3" t="s">
        <v>28</v>
      </c>
      <c r="D367" s="90">
        <v>1</v>
      </c>
      <c r="E367" s="140"/>
      <c r="F367" s="140"/>
      <c r="G367" s="242"/>
      <c r="H367" s="140"/>
      <c r="I367" s="126"/>
      <c r="J367" s="29"/>
    </row>
    <row r="368" spans="1:10" ht="25.5" hidden="1" outlineLevel="1" x14ac:dyDescent="0.25">
      <c r="A368" s="2"/>
      <c r="B368" s="70" t="s">
        <v>294</v>
      </c>
      <c r="C368" s="3" t="s">
        <v>25</v>
      </c>
      <c r="D368" s="90">
        <v>27</v>
      </c>
      <c r="E368" s="140"/>
      <c r="F368" s="140"/>
      <c r="G368" s="242"/>
      <c r="H368" s="140"/>
      <c r="I368" s="126"/>
      <c r="J368" s="29"/>
    </row>
    <row r="369" spans="1:10" ht="13.5" hidden="1" outlineLevel="1" x14ac:dyDescent="0.25">
      <c r="A369" s="2"/>
      <c r="B369" s="171" t="s">
        <v>183</v>
      </c>
      <c r="C369" s="44" t="s">
        <v>25</v>
      </c>
      <c r="D369" s="92">
        <v>29</v>
      </c>
      <c r="E369" s="140"/>
      <c r="F369" s="140"/>
      <c r="G369" s="242"/>
      <c r="H369" s="140"/>
      <c r="I369" s="126">
        <f t="shared" si="46"/>
        <v>0</v>
      </c>
      <c r="J369" s="29"/>
    </row>
    <row r="370" spans="1:10" s="84" customFormat="1" hidden="1" outlineLevel="1" x14ac:dyDescent="0.25">
      <c r="A370" s="96"/>
      <c r="B370" s="148" t="s">
        <v>245</v>
      </c>
      <c r="C370" s="180" t="s">
        <v>25</v>
      </c>
      <c r="D370" s="181">
        <f>D368</f>
        <v>27</v>
      </c>
      <c r="E370" s="141"/>
      <c r="F370" s="140"/>
      <c r="G370" s="243"/>
      <c r="H370" s="129"/>
      <c r="I370" s="126">
        <f t="shared" ref="I370" si="47">G370+H370</f>
        <v>0</v>
      </c>
      <c r="J370" s="83"/>
    </row>
    <row r="371" spans="1:10" ht="13.5" hidden="1" outlineLevel="1" x14ac:dyDescent="0.25">
      <c r="A371" s="2" t="s">
        <v>261</v>
      </c>
      <c r="B371" s="99" t="s">
        <v>185</v>
      </c>
      <c r="C371" s="60" t="s">
        <v>30</v>
      </c>
      <c r="D371" s="61">
        <v>52</v>
      </c>
      <c r="E371" s="140"/>
      <c r="F371" s="140"/>
      <c r="G371" s="242"/>
      <c r="H371" s="140"/>
      <c r="I371" s="126">
        <f t="shared" ref="I371:I378" si="48">G371+H371</f>
        <v>0</v>
      </c>
      <c r="J371" s="29"/>
    </row>
    <row r="372" spans="1:10" ht="13.5" hidden="1" outlineLevel="1" x14ac:dyDescent="0.25">
      <c r="A372" s="2"/>
      <c r="B372" s="70" t="s">
        <v>145</v>
      </c>
      <c r="C372" s="3" t="s">
        <v>0</v>
      </c>
      <c r="D372" s="90">
        <v>6.5</v>
      </c>
      <c r="E372" s="140"/>
      <c r="F372" s="140"/>
      <c r="G372" s="242"/>
      <c r="H372" s="140"/>
      <c r="I372" s="126">
        <f t="shared" si="48"/>
        <v>0</v>
      </c>
      <c r="J372" s="29"/>
    </row>
    <row r="373" spans="1:10" ht="13.5" hidden="1" outlineLevel="1" x14ac:dyDescent="0.25">
      <c r="A373" s="2"/>
      <c r="B373" s="70" t="s">
        <v>146</v>
      </c>
      <c r="C373" s="3" t="s">
        <v>0</v>
      </c>
      <c r="D373" s="90">
        <v>6.5</v>
      </c>
      <c r="E373" s="140"/>
      <c r="F373" s="140"/>
      <c r="G373" s="242"/>
      <c r="H373" s="140"/>
      <c r="I373" s="126">
        <f t="shared" si="48"/>
        <v>0</v>
      </c>
      <c r="J373" s="29"/>
    </row>
    <row r="374" spans="1:10" ht="13.5" hidden="1" outlineLevel="1" x14ac:dyDescent="0.25">
      <c r="A374" s="2"/>
      <c r="B374" s="70" t="s">
        <v>197</v>
      </c>
      <c r="C374" s="3" t="s">
        <v>0</v>
      </c>
      <c r="D374" s="90">
        <v>6.5</v>
      </c>
      <c r="E374" s="140"/>
      <c r="F374" s="140"/>
      <c r="G374" s="242"/>
      <c r="H374" s="140"/>
      <c r="I374" s="126">
        <f t="shared" si="48"/>
        <v>0</v>
      </c>
      <c r="J374" s="29"/>
    </row>
    <row r="375" spans="1:10" ht="13.5" hidden="1" outlineLevel="1" x14ac:dyDescent="0.25">
      <c r="A375" s="2"/>
      <c r="B375" s="70" t="s">
        <v>205</v>
      </c>
      <c r="C375" s="3" t="s">
        <v>28</v>
      </c>
      <c r="D375" s="90">
        <v>1</v>
      </c>
      <c r="E375" s="140"/>
      <c r="F375" s="140"/>
      <c r="G375" s="242"/>
      <c r="H375" s="140"/>
      <c r="I375" s="126">
        <f t="shared" si="48"/>
        <v>0</v>
      </c>
      <c r="J375" s="29"/>
    </row>
    <row r="376" spans="1:10" ht="13.5" hidden="1" outlineLevel="1" x14ac:dyDescent="0.25">
      <c r="A376" s="2"/>
      <c r="B376" s="70" t="s">
        <v>206</v>
      </c>
      <c r="C376" s="3" t="s">
        <v>28</v>
      </c>
      <c r="D376" s="90">
        <v>1</v>
      </c>
      <c r="E376" s="140"/>
      <c r="F376" s="140"/>
      <c r="G376" s="242"/>
      <c r="H376" s="140"/>
      <c r="I376" s="126"/>
      <c r="J376" s="29"/>
    </row>
    <row r="377" spans="1:10" ht="25.5" hidden="1" outlineLevel="1" x14ac:dyDescent="0.25">
      <c r="A377" s="2"/>
      <c r="B377" s="70" t="s">
        <v>295</v>
      </c>
      <c r="C377" s="3" t="s">
        <v>25</v>
      </c>
      <c r="D377" s="90">
        <v>52</v>
      </c>
      <c r="E377" s="140"/>
      <c r="F377" s="140"/>
      <c r="G377" s="242"/>
      <c r="H377" s="140"/>
      <c r="I377" s="126"/>
      <c r="J377" s="29"/>
    </row>
    <row r="378" spans="1:10" ht="13.5" hidden="1" outlineLevel="1" x14ac:dyDescent="0.25">
      <c r="A378" s="2"/>
      <c r="B378" s="171" t="s">
        <v>183</v>
      </c>
      <c r="C378" s="44" t="s">
        <v>25</v>
      </c>
      <c r="D378" s="92">
        <v>54</v>
      </c>
      <c r="E378" s="140"/>
      <c r="F378" s="140"/>
      <c r="G378" s="242"/>
      <c r="H378" s="140"/>
      <c r="I378" s="126">
        <f t="shared" si="48"/>
        <v>0</v>
      </c>
      <c r="J378" s="29"/>
    </row>
    <row r="379" spans="1:10" s="84" customFormat="1" hidden="1" outlineLevel="1" x14ac:dyDescent="0.25">
      <c r="A379" s="96"/>
      <c r="B379" s="148" t="s">
        <v>245</v>
      </c>
      <c r="C379" s="180" t="s">
        <v>25</v>
      </c>
      <c r="D379" s="181">
        <v>54</v>
      </c>
      <c r="E379" s="141"/>
      <c r="F379" s="140"/>
      <c r="G379" s="243"/>
      <c r="H379" s="129"/>
      <c r="I379" s="126">
        <f t="shared" ref="I379" si="49">G379+H379</f>
        <v>0</v>
      </c>
      <c r="J379" s="83"/>
    </row>
    <row r="380" spans="1:10" ht="13.5" hidden="1" outlineLevel="1" x14ac:dyDescent="0.25">
      <c r="A380" s="2" t="s">
        <v>262</v>
      </c>
      <c r="B380" s="99" t="s">
        <v>186</v>
      </c>
      <c r="C380" s="3" t="s">
        <v>30</v>
      </c>
      <c r="D380" s="77">
        <v>16</v>
      </c>
      <c r="E380" s="140"/>
      <c r="F380" s="140"/>
      <c r="G380" s="242"/>
      <c r="H380" s="140"/>
      <c r="I380" s="126">
        <f t="shared" ref="I380:I387" si="50">G380+H380</f>
        <v>0</v>
      </c>
      <c r="J380" s="29"/>
    </row>
    <row r="381" spans="1:10" ht="13.5" hidden="1" outlineLevel="1" x14ac:dyDescent="0.25">
      <c r="A381" s="2"/>
      <c r="B381" s="70" t="s">
        <v>145</v>
      </c>
      <c r="C381" s="3" t="s">
        <v>0</v>
      </c>
      <c r="D381" s="90">
        <v>6.5</v>
      </c>
      <c r="E381" s="140"/>
      <c r="F381" s="140"/>
      <c r="G381" s="242"/>
      <c r="H381" s="140"/>
      <c r="I381" s="126">
        <f t="shared" si="50"/>
        <v>0</v>
      </c>
      <c r="J381" s="29"/>
    </row>
    <row r="382" spans="1:10" ht="13.5" hidden="1" outlineLevel="1" x14ac:dyDescent="0.25">
      <c r="A382" s="2"/>
      <c r="B382" s="70" t="s">
        <v>146</v>
      </c>
      <c r="C382" s="3" t="s">
        <v>0</v>
      </c>
      <c r="D382" s="90">
        <v>6.5</v>
      </c>
      <c r="E382" s="140"/>
      <c r="F382" s="140"/>
      <c r="G382" s="242"/>
      <c r="H382" s="140"/>
      <c r="I382" s="126">
        <f t="shared" si="50"/>
        <v>0</v>
      </c>
      <c r="J382" s="29"/>
    </row>
    <row r="383" spans="1:10" ht="13.5" hidden="1" outlineLevel="1" x14ac:dyDescent="0.25">
      <c r="A383" s="2"/>
      <c r="B383" s="70" t="s">
        <v>197</v>
      </c>
      <c r="C383" s="3" t="s">
        <v>0</v>
      </c>
      <c r="D383" s="90">
        <v>6.5</v>
      </c>
      <c r="E383" s="140"/>
      <c r="F383" s="140"/>
      <c r="G383" s="242"/>
      <c r="H383" s="140"/>
      <c r="I383" s="126">
        <f t="shared" si="50"/>
        <v>0</v>
      </c>
      <c r="J383" s="29"/>
    </row>
    <row r="384" spans="1:10" ht="13.5" hidden="1" outlineLevel="1" x14ac:dyDescent="0.25">
      <c r="A384" s="2"/>
      <c r="B384" s="70" t="s">
        <v>205</v>
      </c>
      <c r="C384" s="3" t="s">
        <v>28</v>
      </c>
      <c r="D384" s="90">
        <v>1</v>
      </c>
      <c r="E384" s="140"/>
      <c r="F384" s="140"/>
      <c r="G384" s="242"/>
      <c r="H384" s="140"/>
      <c r="I384" s="126">
        <f t="shared" si="50"/>
        <v>0</v>
      </c>
      <c r="J384" s="29"/>
    </row>
    <row r="385" spans="1:10" ht="13.5" hidden="1" outlineLevel="1" x14ac:dyDescent="0.25">
      <c r="A385" s="2"/>
      <c r="B385" s="70" t="s">
        <v>206</v>
      </c>
      <c r="C385" s="3" t="s">
        <v>28</v>
      </c>
      <c r="D385" s="90">
        <v>1</v>
      </c>
      <c r="E385" s="140"/>
      <c r="F385" s="140"/>
      <c r="G385" s="242"/>
      <c r="H385" s="140"/>
      <c r="I385" s="126"/>
      <c r="J385" s="29"/>
    </row>
    <row r="386" spans="1:10" ht="25.5" hidden="1" outlineLevel="1" x14ac:dyDescent="0.25">
      <c r="A386" s="2"/>
      <c r="B386" s="70" t="s">
        <v>296</v>
      </c>
      <c r="C386" s="3" t="s">
        <v>25</v>
      </c>
      <c r="D386" s="90">
        <v>16</v>
      </c>
      <c r="E386" s="140"/>
      <c r="F386" s="140"/>
      <c r="G386" s="242"/>
      <c r="H386" s="140"/>
      <c r="I386" s="126"/>
      <c r="J386" s="29"/>
    </row>
    <row r="387" spans="1:10" ht="13.5" hidden="1" outlineLevel="1" x14ac:dyDescent="0.25">
      <c r="A387" s="2"/>
      <c r="B387" s="171" t="s">
        <v>183</v>
      </c>
      <c r="C387" s="44" t="s">
        <v>25</v>
      </c>
      <c r="D387" s="92">
        <v>18</v>
      </c>
      <c r="E387" s="140"/>
      <c r="F387" s="140"/>
      <c r="G387" s="242"/>
      <c r="H387" s="140"/>
      <c r="I387" s="126">
        <f t="shared" si="50"/>
        <v>0</v>
      </c>
      <c r="J387" s="29"/>
    </row>
    <row r="388" spans="1:10" s="84" customFormat="1" hidden="1" outlineLevel="1" x14ac:dyDescent="0.25">
      <c r="A388" s="96"/>
      <c r="B388" s="148" t="s">
        <v>245</v>
      </c>
      <c r="C388" s="180" t="s">
        <v>25</v>
      </c>
      <c r="D388" s="181">
        <v>18</v>
      </c>
      <c r="E388" s="141"/>
      <c r="F388" s="140"/>
      <c r="G388" s="243"/>
      <c r="H388" s="129"/>
      <c r="I388" s="126">
        <f t="shared" ref="I388" si="51">G388+H388</f>
        <v>0</v>
      </c>
      <c r="J388" s="83"/>
    </row>
    <row r="389" spans="1:10" ht="13.5" hidden="1" outlineLevel="1" x14ac:dyDescent="0.25">
      <c r="A389" s="2" t="s">
        <v>263</v>
      </c>
      <c r="B389" s="99" t="s">
        <v>187</v>
      </c>
      <c r="C389" s="3" t="s">
        <v>30</v>
      </c>
      <c r="D389" s="47">
        <v>10</v>
      </c>
      <c r="E389" s="140"/>
      <c r="F389" s="140"/>
      <c r="G389" s="242"/>
      <c r="H389" s="140"/>
      <c r="I389" s="126">
        <f>G389+H389</f>
        <v>0</v>
      </c>
      <c r="J389" s="29"/>
    </row>
    <row r="390" spans="1:10" ht="13.5" hidden="1" outlineLevel="1" x14ac:dyDescent="0.25">
      <c r="A390" s="2"/>
      <c r="B390" s="70" t="s">
        <v>145</v>
      </c>
      <c r="C390" s="3" t="s">
        <v>0</v>
      </c>
      <c r="D390" s="90">
        <v>6.5</v>
      </c>
      <c r="E390" s="140"/>
      <c r="F390" s="140"/>
      <c r="G390" s="242"/>
      <c r="H390" s="140"/>
      <c r="I390" s="126">
        <f>G390+H390</f>
        <v>0</v>
      </c>
      <c r="J390" s="29"/>
    </row>
    <row r="391" spans="1:10" ht="13.5" hidden="1" outlineLevel="1" x14ac:dyDescent="0.25">
      <c r="A391" s="2"/>
      <c r="B391" s="70" t="s">
        <v>146</v>
      </c>
      <c r="C391" s="3" t="s">
        <v>0</v>
      </c>
      <c r="D391" s="90">
        <v>6.5</v>
      </c>
      <c r="E391" s="140"/>
      <c r="F391" s="140"/>
      <c r="G391" s="242"/>
      <c r="H391" s="140"/>
      <c r="I391" s="126">
        <f>G391+H391</f>
        <v>0</v>
      </c>
      <c r="J391" s="29"/>
    </row>
    <row r="392" spans="1:10" ht="13.5" hidden="1" outlineLevel="1" x14ac:dyDescent="0.25">
      <c r="A392" s="2"/>
      <c r="B392" s="70" t="s">
        <v>197</v>
      </c>
      <c r="C392" s="3" t="s">
        <v>0</v>
      </c>
      <c r="D392" s="90">
        <v>6.5</v>
      </c>
      <c r="E392" s="140"/>
      <c r="F392" s="140"/>
      <c r="G392" s="242"/>
      <c r="H392" s="140"/>
      <c r="I392" s="126"/>
      <c r="J392" s="29"/>
    </row>
    <row r="393" spans="1:10" ht="13.5" hidden="1" outlineLevel="1" x14ac:dyDescent="0.25">
      <c r="A393" s="2"/>
      <c r="B393" s="70" t="s">
        <v>205</v>
      </c>
      <c r="C393" s="3" t="s">
        <v>28</v>
      </c>
      <c r="D393" s="90">
        <v>1</v>
      </c>
      <c r="E393" s="140"/>
      <c r="F393" s="140"/>
      <c r="G393" s="242"/>
      <c r="H393" s="140"/>
      <c r="I393" s="126"/>
      <c r="J393" s="29"/>
    </row>
    <row r="394" spans="1:10" ht="13.5" hidden="1" outlineLevel="1" x14ac:dyDescent="0.25">
      <c r="A394" s="2"/>
      <c r="B394" s="70" t="s">
        <v>206</v>
      </c>
      <c r="C394" s="3" t="s">
        <v>28</v>
      </c>
      <c r="D394" s="90">
        <v>1</v>
      </c>
      <c r="E394" s="140"/>
      <c r="F394" s="140"/>
      <c r="G394" s="242"/>
      <c r="H394" s="140"/>
      <c r="I394" s="126"/>
      <c r="J394" s="29"/>
    </row>
    <row r="395" spans="1:10" ht="25.5" hidden="1" outlineLevel="1" x14ac:dyDescent="0.25">
      <c r="A395" s="2"/>
      <c r="B395" s="70" t="s">
        <v>297</v>
      </c>
      <c r="C395" s="3" t="s">
        <v>25</v>
      </c>
      <c r="D395" s="90">
        <v>10</v>
      </c>
      <c r="E395" s="140"/>
      <c r="F395" s="140"/>
      <c r="G395" s="242"/>
      <c r="H395" s="140"/>
      <c r="I395" s="126"/>
      <c r="J395" s="29"/>
    </row>
    <row r="396" spans="1:10" ht="13.5" hidden="1" outlineLevel="1" x14ac:dyDescent="0.25">
      <c r="A396" s="2"/>
      <c r="B396" s="171" t="s">
        <v>183</v>
      </c>
      <c r="C396" s="44" t="s">
        <v>25</v>
      </c>
      <c r="D396" s="92">
        <v>12</v>
      </c>
      <c r="E396" s="140"/>
      <c r="F396" s="140"/>
      <c r="G396" s="242"/>
      <c r="H396" s="140"/>
      <c r="I396" s="126">
        <f>G396+H396</f>
        <v>0</v>
      </c>
      <c r="J396" s="29"/>
    </row>
    <row r="397" spans="1:10" s="84" customFormat="1" hidden="1" outlineLevel="1" x14ac:dyDescent="0.25">
      <c r="A397" s="96"/>
      <c r="B397" s="170" t="s">
        <v>245</v>
      </c>
      <c r="C397" s="180" t="s">
        <v>25</v>
      </c>
      <c r="D397" s="181">
        <v>12</v>
      </c>
      <c r="E397" s="141"/>
      <c r="F397" s="140"/>
      <c r="G397" s="243"/>
      <c r="H397" s="129"/>
      <c r="I397" s="126">
        <f t="shared" ref="I397" si="52">G397+H397</f>
        <v>0</v>
      </c>
      <c r="J397" s="83"/>
    </row>
    <row r="398" spans="1:10" ht="13.5" collapsed="1" x14ac:dyDescent="0.2">
      <c r="A398" s="183" t="s">
        <v>264</v>
      </c>
      <c r="B398" s="185" t="s">
        <v>229</v>
      </c>
      <c r="C398" s="94" t="s">
        <v>111</v>
      </c>
      <c r="D398" s="124">
        <v>8</v>
      </c>
      <c r="E398" s="140">
        <f>G398/D398</f>
        <v>200550.48300000004</v>
      </c>
      <c r="F398" s="173">
        <f>H398/D398</f>
        <v>75327.716999999975</v>
      </c>
      <c r="G398" s="243">
        <f>(105143.29+44585.68+24546.73+3920.09+31530.24+8322.1+56179.06+37016.2+561.57+56565.2+968633.06)*1.2</f>
        <v>1604403.8640000003</v>
      </c>
      <c r="H398" s="129">
        <f>2207025.6-G398</f>
        <v>602621.7359999998</v>
      </c>
      <c r="I398" s="126">
        <f t="shared" ref="I398:I416" si="53">G398+H398</f>
        <v>2207025.6</v>
      </c>
      <c r="J398" s="29"/>
    </row>
    <row r="399" spans="1:10" ht="25.5" hidden="1" outlineLevel="1" x14ac:dyDescent="0.25">
      <c r="A399" s="2" t="s">
        <v>266</v>
      </c>
      <c r="B399" s="70" t="s">
        <v>247</v>
      </c>
      <c r="C399" s="3" t="s">
        <v>0</v>
      </c>
      <c r="D399" s="90">
        <f>D401+D402+D403+D404+D405+D400+D408</f>
        <v>21.64</v>
      </c>
      <c r="E399" s="129"/>
      <c r="F399" s="129"/>
      <c r="G399" s="243"/>
      <c r="H399" s="129"/>
      <c r="I399" s="126"/>
      <c r="J399" s="29"/>
    </row>
    <row r="400" spans="1:10" s="22" customFormat="1" hidden="1" outlineLevel="1" x14ac:dyDescent="0.25">
      <c r="A400" s="72"/>
      <c r="B400" s="78" t="s">
        <v>45</v>
      </c>
      <c r="C400" s="79" t="s">
        <v>0</v>
      </c>
      <c r="D400" s="85">
        <f>0.4*1</f>
        <v>0.4</v>
      </c>
      <c r="E400" s="141"/>
      <c r="F400" s="140"/>
      <c r="G400" s="242"/>
      <c r="H400" s="140"/>
      <c r="I400" s="126">
        <f t="shared" si="53"/>
        <v>0</v>
      </c>
      <c r="J400" s="21"/>
    </row>
    <row r="401" spans="1:11" s="22" customFormat="1" hidden="1" outlineLevel="1" x14ac:dyDescent="0.25">
      <c r="A401" s="72"/>
      <c r="B401" s="78" t="s">
        <v>231</v>
      </c>
      <c r="C401" s="79" t="s">
        <v>0</v>
      </c>
      <c r="D401" s="85">
        <f>0.4*28</f>
        <v>11.200000000000001</v>
      </c>
      <c r="E401" s="141"/>
      <c r="F401" s="140"/>
      <c r="G401" s="242"/>
      <c r="H401" s="140"/>
      <c r="I401" s="126">
        <f t="shared" si="53"/>
        <v>0</v>
      </c>
      <c r="J401" s="21"/>
    </row>
    <row r="402" spans="1:11" s="22" customFormat="1" hidden="1" outlineLevel="1" x14ac:dyDescent="0.25">
      <c r="A402" s="72"/>
      <c r="B402" s="78" t="s">
        <v>232</v>
      </c>
      <c r="C402" s="79" t="s">
        <v>0</v>
      </c>
      <c r="D402" s="85">
        <f>0.05*4</f>
        <v>0.2</v>
      </c>
      <c r="E402" s="141"/>
      <c r="F402" s="140"/>
      <c r="G402" s="242"/>
      <c r="H402" s="140"/>
      <c r="I402" s="126">
        <f t="shared" si="53"/>
        <v>0</v>
      </c>
      <c r="J402" s="21"/>
      <c r="K402" s="145"/>
    </row>
    <row r="403" spans="1:11" s="22" customFormat="1" hidden="1" outlineLevel="1" x14ac:dyDescent="0.25">
      <c r="A403" s="72"/>
      <c r="B403" s="78" t="s">
        <v>233</v>
      </c>
      <c r="C403" s="79" t="s">
        <v>0</v>
      </c>
      <c r="D403" s="85">
        <f>0.38*8</f>
        <v>3.04</v>
      </c>
      <c r="E403" s="141"/>
      <c r="F403" s="140"/>
      <c r="G403" s="242"/>
      <c r="H403" s="140"/>
      <c r="I403" s="126">
        <f t="shared" si="53"/>
        <v>0</v>
      </c>
      <c r="J403" s="21"/>
    </row>
    <row r="404" spans="1:11" s="22" customFormat="1" hidden="1" outlineLevel="1" x14ac:dyDescent="0.25">
      <c r="A404" s="72"/>
      <c r="B404" s="78" t="s">
        <v>234</v>
      </c>
      <c r="C404" s="79" t="s">
        <v>0</v>
      </c>
      <c r="D404" s="85">
        <f>0.27*8</f>
        <v>2.16</v>
      </c>
      <c r="E404" s="141"/>
      <c r="F404" s="140"/>
      <c r="G404" s="242"/>
      <c r="H404" s="140"/>
      <c r="I404" s="126">
        <f t="shared" si="53"/>
        <v>0</v>
      </c>
      <c r="J404" s="21"/>
    </row>
    <row r="405" spans="1:11" s="22" customFormat="1" hidden="1" outlineLevel="1" x14ac:dyDescent="0.25">
      <c r="A405" s="72"/>
      <c r="B405" s="160" t="s">
        <v>235</v>
      </c>
      <c r="C405" s="212" t="s">
        <v>0</v>
      </c>
      <c r="D405" s="85">
        <f>0.02*12</f>
        <v>0.24</v>
      </c>
      <c r="E405" s="141"/>
      <c r="F405" s="140"/>
      <c r="G405" s="242"/>
      <c r="H405" s="140"/>
      <c r="I405" s="126">
        <f t="shared" si="53"/>
        <v>0</v>
      </c>
      <c r="J405" s="21"/>
    </row>
    <row r="406" spans="1:11" s="22" customFormat="1" hidden="1" outlineLevel="1" x14ac:dyDescent="0.25">
      <c r="A406" s="72"/>
      <c r="B406" s="160" t="s">
        <v>46</v>
      </c>
      <c r="C406" s="212" t="s">
        <v>28</v>
      </c>
      <c r="D406" s="161">
        <v>7</v>
      </c>
      <c r="E406" s="141"/>
      <c r="F406" s="140"/>
      <c r="G406" s="242"/>
      <c r="H406" s="140"/>
      <c r="I406" s="126">
        <f t="shared" si="53"/>
        <v>0</v>
      </c>
      <c r="J406" s="21"/>
    </row>
    <row r="407" spans="1:11" s="22" customFormat="1" ht="13.5" hidden="1" customHeight="1" outlineLevel="1" x14ac:dyDescent="0.25">
      <c r="A407" s="72"/>
      <c r="B407" s="160" t="s">
        <v>239</v>
      </c>
      <c r="C407" s="212" t="s">
        <v>28</v>
      </c>
      <c r="D407" s="161">
        <v>1</v>
      </c>
      <c r="E407" s="141"/>
      <c r="F407" s="140"/>
      <c r="G407" s="242"/>
      <c r="H407" s="140"/>
      <c r="I407" s="126">
        <f t="shared" si="53"/>
        <v>0</v>
      </c>
      <c r="J407" s="21"/>
    </row>
    <row r="408" spans="1:11" ht="13.5" hidden="1" outlineLevel="1" x14ac:dyDescent="0.25">
      <c r="A408" s="2"/>
      <c r="B408" s="237" t="s">
        <v>248</v>
      </c>
      <c r="C408" s="212" t="s">
        <v>0</v>
      </c>
      <c r="D408" s="92">
        <f>0.55*8</f>
        <v>4.4000000000000004</v>
      </c>
      <c r="E408" s="140"/>
      <c r="F408" s="140"/>
      <c r="G408" s="242"/>
      <c r="H408" s="140"/>
      <c r="I408" s="126">
        <f>G408+H408</f>
        <v>0</v>
      </c>
      <c r="J408" s="29"/>
    </row>
    <row r="409" spans="1:11" ht="13.5" hidden="1" outlineLevel="1" x14ac:dyDescent="0.25">
      <c r="A409" s="2"/>
      <c r="B409" s="160" t="s">
        <v>250</v>
      </c>
      <c r="C409" s="212" t="s">
        <v>29</v>
      </c>
      <c r="D409" s="48">
        <f>2*28.5</f>
        <v>57</v>
      </c>
      <c r="E409" s="140"/>
      <c r="F409" s="140"/>
      <c r="G409" s="242"/>
      <c r="H409" s="140"/>
      <c r="I409" s="126">
        <f t="shared" si="53"/>
        <v>0</v>
      </c>
      <c r="J409" s="29"/>
    </row>
    <row r="410" spans="1:11" ht="13.5" hidden="1" outlineLevel="1" x14ac:dyDescent="0.25">
      <c r="A410" s="2"/>
      <c r="B410" s="160" t="s">
        <v>249</v>
      </c>
      <c r="C410" s="212" t="s">
        <v>29</v>
      </c>
      <c r="D410" s="48">
        <f>2*35.2</f>
        <v>70.400000000000006</v>
      </c>
      <c r="E410" s="140"/>
      <c r="F410" s="140"/>
      <c r="G410" s="242"/>
      <c r="H410" s="140"/>
      <c r="I410" s="126">
        <f t="shared" si="53"/>
        <v>0</v>
      </c>
      <c r="J410" s="29"/>
    </row>
    <row r="411" spans="1:11" ht="13.5" hidden="1" outlineLevel="1" x14ac:dyDescent="0.25">
      <c r="A411" s="2"/>
      <c r="B411" s="160" t="s">
        <v>251</v>
      </c>
      <c r="C411" s="212" t="s">
        <v>29</v>
      </c>
      <c r="D411" s="48">
        <f>1*41.8</f>
        <v>41.8</v>
      </c>
      <c r="E411" s="140"/>
      <c r="F411" s="140"/>
      <c r="G411" s="242"/>
      <c r="H411" s="140"/>
      <c r="I411" s="126">
        <f t="shared" si="53"/>
        <v>0</v>
      </c>
      <c r="J411" s="29"/>
    </row>
    <row r="412" spans="1:11" ht="13.5" hidden="1" outlineLevel="1" x14ac:dyDescent="0.25">
      <c r="A412" s="2"/>
      <c r="B412" s="160" t="s">
        <v>252</v>
      </c>
      <c r="C412" s="212" t="s">
        <v>29</v>
      </c>
      <c r="D412" s="48">
        <f>3*55.7</f>
        <v>167.10000000000002</v>
      </c>
      <c r="E412" s="140"/>
      <c r="F412" s="140"/>
      <c r="G412" s="242"/>
      <c r="H412" s="140"/>
      <c r="I412" s="126">
        <f t="shared" si="53"/>
        <v>0</v>
      </c>
      <c r="J412" s="29"/>
    </row>
    <row r="413" spans="1:11" ht="13.5" hidden="1" outlineLevel="1" x14ac:dyDescent="0.25">
      <c r="A413" s="2"/>
      <c r="B413" s="238" t="s">
        <v>175</v>
      </c>
      <c r="C413" s="212" t="s">
        <v>28</v>
      </c>
      <c r="D413" s="161">
        <v>14</v>
      </c>
      <c r="E413" s="140"/>
      <c r="F413" s="140"/>
      <c r="G413" s="242"/>
      <c r="H413" s="140"/>
      <c r="I413" s="126">
        <f>G413+H413</f>
        <v>0</v>
      </c>
      <c r="J413" s="29"/>
    </row>
    <row r="414" spans="1:11" ht="13.5" hidden="1" outlineLevel="1" x14ac:dyDescent="0.25">
      <c r="A414" s="2"/>
      <c r="B414" s="238" t="s">
        <v>174</v>
      </c>
      <c r="C414" s="212" t="s">
        <v>28</v>
      </c>
      <c r="D414" s="48">
        <v>2</v>
      </c>
      <c r="E414" s="140"/>
      <c r="F414" s="140"/>
      <c r="G414" s="242"/>
      <c r="H414" s="140"/>
      <c r="I414" s="126">
        <f t="shared" si="53"/>
        <v>0</v>
      </c>
      <c r="J414" s="29"/>
    </row>
    <row r="415" spans="1:11" ht="13.5" hidden="1" outlineLevel="1" x14ac:dyDescent="0.25">
      <c r="A415" s="2" t="s">
        <v>267</v>
      </c>
      <c r="B415" s="206" t="s">
        <v>32</v>
      </c>
      <c r="C415" s="55" t="s">
        <v>10</v>
      </c>
      <c r="D415" s="90">
        <f>142.7</f>
        <v>142.69999999999999</v>
      </c>
      <c r="E415" s="140"/>
      <c r="F415" s="140"/>
      <c r="G415" s="242"/>
      <c r="H415" s="140"/>
      <c r="I415" s="126">
        <f t="shared" si="53"/>
        <v>0</v>
      </c>
      <c r="J415" s="29"/>
    </row>
    <row r="416" spans="1:11" ht="13.5" hidden="1" outlineLevel="1" x14ac:dyDescent="0.25">
      <c r="A416" s="2"/>
      <c r="B416" s="91" t="s">
        <v>163</v>
      </c>
      <c r="C416" s="44" t="s">
        <v>29</v>
      </c>
      <c r="D416" s="92">
        <v>342.48</v>
      </c>
      <c r="E416" s="140"/>
      <c r="F416" s="140"/>
      <c r="G416" s="242"/>
      <c r="H416" s="140"/>
      <c r="I416" s="126">
        <f t="shared" si="53"/>
        <v>0</v>
      </c>
      <c r="J416" s="29"/>
    </row>
    <row r="417" spans="1:10" ht="13.5" hidden="1" outlineLevel="1" x14ac:dyDescent="0.25">
      <c r="A417" s="2"/>
      <c r="B417" s="170" t="s">
        <v>216</v>
      </c>
      <c r="C417" s="3" t="s">
        <v>28</v>
      </c>
      <c r="D417" s="182">
        <f>D418</f>
        <v>13</v>
      </c>
      <c r="E417" s="140"/>
      <c r="F417" s="140"/>
      <c r="G417" s="242"/>
      <c r="H417" s="140"/>
      <c r="I417" s="126"/>
      <c r="J417" s="29"/>
    </row>
    <row r="418" spans="1:10" ht="13.5" hidden="1" outlineLevel="1" x14ac:dyDescent="0.25">
      <c r="A418" s="2"/>
      <c r="B418" s="167" t="s">
        <v>178</v>
      </c>
      <c r="C418" s="44" t="s">
        <v>28</v>
      </c>
      <c r="D418" s="161">
        <v>13</v>
      </c>
      <c r="E418" s="140"/>
      <c r="F418" s="140"/>
      <c r="G418" s="242"/>
      <c r="H418" s="140"/>
      <c r="I418" s="126"/>
      <c r="J418" s="29"/>
    </row>
    <row r="419" spans="1:10" ht="13.5" collapsed="1" x14ac:dyDescent="0.25">
      <c r="A419" s="40" t="s">
        <v>265</v>
      </c>
      <c r="B419" s="172" t="s">
        <v>106</v>
      </c>
      <c r="C419" s="94" t="s">
        <v>10</v>
      </c>
      <c r="D419" s="123">
        <f>D424</f>
        <v>167</v>
      </c>
      <c r="E419" s="140">
        <f>G419/D419</f>
        <v>3062.5810059880241</v>
      </c>
      <c r="F419" s="173">
        <f>H419/D419</f>
        <v>3052.7509700598798</v>
      </c>
      <c r="G419" s="242">
        <f>(115894.88+120260.69+2417.59+71046.6+35523.3+2417.59+78648.54)*1.2</f>
        <v>511451.02799999999</v>
      </c>
      <c r="H419" s="140">
        <f>1021260.44-G419</f>
        <v>509809.41199999995</v>
      </c>
      <c r="I419" s="126">
        <f t="shared" si="38"/>
        <v>1021260.44</v>
      </c>
      <c r="J419" s="29"/>
    </row>
    <row r="420" spans="1:10" ht="13.5" hidden="1" outlineLevel="1" x14ac:dyDescent="0.25">
      <c r="A420" s="2" t="s">
        <v>268</v>
      </c>
      <c r="B420" s="71" t="s">
        <v>96</v>
      </c>
      <c r="C420" s="119" t="s">
        <v>0</v>
      </c>
      <c r="D420" s="120">
        <v>223.78</v>
      </c>
      <c r="E420" s="29"/>
      <c r="F420" s="29"/>
      <c r="G420" s="29"/>
      <c r="H420" s="29"/>
      <c r="I420" s="29"/>
      <c r="J420" s="29"/>
    </row>
    <row r="421" spans="1:10" hidden="1" outlineLevel="1" x14ac:dyDescent="0.25">
      <c r="A421" s="98"/>
      <c r="B421" s="109" t="s">
        <v>97</v>
      </c>
      <c r="C421" s="110" t="s">
        <v>0</v>
      </c>
      <c r="D421" s="111">
        <v>246.15799999999999</v>
      </c>
      <c r="E421" s="92"/>
      <c r="F421" s="92"/>
      <c r="G421" s="92"/>
      <c r="H421" s="92"/>
      <c r="I421" s="92"/>
      <c r="J421" s="108"/>
    </row>
    <row r="422" spans="1:10" hidden="1" outlineLevel="1" x14ac:dyDescent="0.25">
      <c r="A422" s="2" t="s">
        <v>269</v>
      </c>
      <c r="B422" s="71" t="s">
        <v>98</v>
      </c>
      <c r="C422" s="97" t="s">
        <v>0</v>
      </c>
      <c r="D422" s="106">
        <v>41.75</v>
      </c>
      <c r="E422" s="92"/>
      <c r="F422" s="92"/>
      <c r="G422" s="92"/>
      <c r="H422" s="92"/>
      <c r="I422" s="92"/>
      <c r="J422" s="108"/>
    </row>
    <row r="423" spans="1:10" ht="25.5" hidden="1" outlineLevel="1" x14ac:dyDescent="0.25">
      <c r="A423" s="2"/>
      <c r="B423" s="109" t="s">
        <v>99</v>
      </c>
      <c r="C423" s="110" t="s">
        <v>0</v>
      </c>
      <c r="D423" s="111">
        <v>52.604999999999997</v>
      </c>
      <c r="E423" s="92"/>
      <c r="F423" s="92"/>
      <c r="G423" s="92"/>
      <c r="H423" s="92"/>
      <c r="I423" s="92"/>
      <c r="J423" s="108"/>
    </row>
    <row r="424" spans="1:10" ht="25.5" hidden="1" outlineLevel="1" x14ac:dyDescent="0.25">
      <c r="A424" s="2" t="s">
        <v>270</v>
      </c>
      <c r="B424" s="71" t="s">
        <v>100</v>
      </c>
      <c r="C424" s="97" t="s">
        <v>10</v>
      </c>
      <c r="D424" s="122">
        <v>167</v>
      </c>
      <c r="E424" s="92"/>
      <c r="F424" s="92"/>
      <c r="G424" s="92"/>
      <c r="H424" s="92"/>
      <c r="I424" s="92"/>
      <c r="J424" s="108"/>
    </row>
    <row r="425" spans="1:10" hidden="1" outlineLevel="1" x14ac:dyDescent="0.25">
      <c r="A425" s="2"/>
      <c r="B425" s="109" t="s">
        <v>101</v>
      </c>
      <c r="C425" s="110" t="s">
        <v>102</v>
      </c>
      <c r="D425" s="111">
        <v>0.1169</v>
      </c>
      <c r="E425" s="92"/>
      <c r="F425" s="92"/>
      <c r="G425" s="92"/>
      <c r="H425" s="92"/>
      <c r="I425" s="92"/>
      <c r="J425" s="108"/>
    </row>
    <row r="426" spans="1:10" hidden="1" outlineLevel="1" x14ac:dyDescent="0.25">
      <c r="A426" s="2"/>
      <c r="B426" s="109" t="s">
        <v>103</v>
      </c>
      <c r="C426" s="110" t="s">
        <v>102</v>
      </c>
      <c r="D426" s="111">
        <v>24.2484</v>
      </c>
      <c r="E426" s="92"/>
      <c r="F426" s="92"/>
      <c r="G426" s="92"/>
      <c r="H426" s="92"/>
      <c r="I426" s="92"/>
      <c r="J426" s="108"/>
    </row>
    <row r="427" spans="1:10" ht="25.5" hidden="1" outlineLevel="1" x14ac:dyDescent="0.25">
      <c r="A427" s="2" t="s">
        <v>271</v>
      </c>
      <c r="B427" s="71" t="s">
        <v>104</v>
      </c>
      <c r="C427" s="97" t="s">
        <v>10</v>
      </c>
      <c r="D427" s="122">
        <v>167</v>
      </c>
      <c r="E427" s="92"/>
      <c r="F427" s="92"/>
      <c r="G427" s="92"/>
      <c r="H427" s="92"/>
      <c r="I427" s="92"/>
      <c r="J427" s="108"/>
    </row>
    <row r="428" spans="1:10" hidden="1" outlineLevel="1" x14ac:dyDescent="0.25">
      <c r="A428" s="2"/>
      <c r="B428" s="109" t="s">
        <v>101</v>
      </c>
      <c r="C428" s="110" t="s">
        <v>102</v>
      </c>
      <c r="D428" s="111">
        <v>0.1169</v>
      </c>
      <c r="E428" s="92"/>
      <c r="F428" s="92"/>
      <c r="G428" s="92"/>
      <c r="H428" s="92"/>
      <c r="I428" s="92"/>
      <c r="J428" s="108"/>
    </row>
    <row r="429" spans="1:10" hidden="1" outlineLevel="1" x14ac:dyDescent="0.25">
      <c r="A429" s="98"/>
      <c r="B429" s="109" t="s">
        <v>105</v>
      </c>
      <c r="C429" s="110" t="s">
        <v>102</v>
      </c>
      <c r="D429" s="111">
        <v>16.165600000000001</v>
      </c>
      <c r="E429" s="92"/>
      <c r="F429" s="92"/>
      <c r="G429" s="92"/>
      <c r="H429" s="92"/>
      <c r="I429" s="92"/>
      <c r="J429" s="108"/>
    </row>
  </sheetData>
  <autoFilter ref="A8:K429" xr:uid="{00000000-0001-0000-0000-000000000000}"/>
  <mergeCells count="5">
    <mergeCell ref="A2:D2"/>
    <mergeCell ref="A1:D1"/>
    <mergeCell ref="A3:J3"/>
    <mergeCell ref="A4:D4"/>
    <mergeCell ref="A5:D5"/>
  </mergeCells>
  <phoneticPr fontId="2" type="noConversion"/>
  <pageMargins left="0.39370078740157483" right="0.19685039370078741" top="0.39370078740157483" bottom="0.19685039370078741" header="0.51181102362204722" footer="0.15748031496062992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 07.07.25</vt:lpstr>
      <vt:lpstr>'ВОР 07.07.25'!Область_печати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Розанов Дмитрий Юрьевич</dc:creator>
  <cp:lastModifiedBy>Сергиенко Татьяна Сергеевна</cp:lastModifiedBy>
  <cp:lastPrinted>2025-08-07T08:13:17Z</cp:lastPrinted>
  <dcterms:created xsi:type="dcterms:W3CDTF">2015-06-05T18:19:34Z</dcterms:created>
  <dcterms:modified xsi:type="dcterms:W3CDTF">2025-08-08T13:30:47Z</dcterms:modified>
</cp:coreProperties>
</file>