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Департамент строительства Термы\СТО\Термы_Смоленск\сметы тендер\885_котлован и свайное поле\"/>
    </mc:Choice>
  </mc:AlternateContent>
  <xr:revisionPtr revIDLastSave="0" documentId="13_ncr:1_{981B0A67-211A-45AD-8A78-32F6934B7FE2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ВОР 07.07.25" sheetId="1" r:id="rId1"/>
  </sheets>
  <definedNames>
    <definedName name="_xlnm._FilterDatabase" localSheetId="0" hidden="1">'ВОР 07.07.25'!$A$8:$K$57</definedName>
    <definedName name="_xlnm.Print_Area" localSheetId="0">'ВОР 07.07.25'!$A$1:$J$58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1" l="1"/>
  <c r="H33" i="1"/>
  <c r="G33" i="1"/>
  <c r="I58" i="1"/>
  <c r="I42" i="1" l="1"/>
  <c r="I41" i="1"/>
  <c r="I40" i="1"/>
  <c r="I39" i="1"/>
  <c r="H27" i="1"/>
  <c r="H17" i="1"/>
  <c r="H11" i="1"/>
  <c r="D25" i="1" l="1"/>
  <c r="D18" i="1"/>
  <c r="D11" i="1"/>
  <c r="D17" i="1" s="1"/>
  <c r="D20" i="1" l="1"/>
  <c r="D19" i="1"/>
  <c r="D36" i="1" l="1"/>
  <c r="I36" i="1"/>
  <c r="D21" i="1"/>
  <c r="D31" i="1"/>
  <c r="D30" i="1"/>
  <c r="I31" i="1"/>
  <c r="I30" i="1"/>
  <c r="G21" i="1"/>
  <c r="H21" i="1" s="1"/>
  <c r="I27" i="1"/>
  <c r="E21" i="1" l="1"/>
  <c r="F17" i="1"/>
  <c r="E17" i="1"/>
  <c r="F21" i="1"/>
  <c r="I21" i="1"/>
  <c r="F27" i="1"/>
  <c r="E27" i="1"/>
  <c r="I17" i="1" l="1"/>
  <c r="G49" i="1"/>
  <c r="I22" i="1"/>
  <c r="I20" i="1"/>
  <c r="I19" i="1"/>
  <c r="I18" i="1"/>
  <c r="I16" i="1"/>
  <c r="I15" i="1"/>
  <c r="I14" i="1"/>
  <c r="I13" i="1"/>
  <c r="I33" i="1" l="1"/>
  <c r="I11" i="1"/>
  <c r="E11" i="1"/>
  <c r="F11" i="1" l="1"/>
  <c r="I49" i="1"/>
  <c r="E49" i="1"/>
  <c r="E33" i="1"/>
  <c r="F33" i="1"/>
  <c r="F49" i="1" l="1"/>
  <c r="I54" i="1" l="1"/>
  <c r="I38" i="1"/>
  <c r="I57" i="1"/>
  <c r="I12" i="1" l="1"/>
  <c r="I23" i="1"/>
  <c r="I24" i="1"/>
  <c r="I25" i="1"/>
  <c r="I35" i="1"/>
  <c r="I28" i="1"/>
  <c r="I29" i="1"/>
  <c r="I34" i="1"/>
  <c r="I37" i="1"/>
  <c r="I43" i="1"/>
  <c r="I44" i="1"/>
  <c r="I47" i="1"/>
  <c r="I45" i="1"/>
  <c r="I50" i="1"/>
  <c r="I51" i="1"/>
  <c r="I52" i="1"/>
  <c r="I53" i="1"/>
  <c r="I55" i="1"/>
  <c r="I56" i="1"/>
  <c r="I32" i="1" l="1"/>
  <c r="I26" i="1"/>
  <c r="I48" i="1"/>
  <c r="I10" i="1"/>
  <c r="I9" i="1" l="1"/>
</calcChain>
</file>

<file path=xl/sharedStrings.xml><?xml version="1.0" encoding="utf-8"?>
<sst xmlns="http://schemas.openxmlformats.org/spreadsheetml/2006/main" count="119" uniqueCount="76">
  <si>
    <t>м3</t>
  </si>
  <si>
    <t>№ п/п</t>
  </si>
  <si>
    <t>Наименование</t>
  </si>
  <si>
    <t>Ед. изм.</t>
  </si>
  <si>
    <t>Кол-во</t>
  </si>
  <si>
    <t>Примечание</t>
  </si>
  <si>
    <t>Стоимость материала всего,
руб. с НДС</t>
  </si>
  <si>
    <t>Стоимость работ всего,
руб. с НДС</t>
  </si>
  <si>
    <t>Стоимость Итого,
руб. с НДС</t>
  </si>
  <si>
    <t>Основание:</t>
  </si>
  <si>
    <t>м2</t>
  </si>
  <si>
    <r>
      <t xml:space="preserve">Цена материала
за ед.,
</t>
    </r>
    <r>
      <rPr>
        <b/>
        <i/>
        <sz val="9"/>
        <color theme="1"/>
        <rFont val="Times New Roman"/>
        <family val="1"/>
        <charset val="204"/>
      </rPr>
      <t>руб. с НДС</t>
    </r>
  </si>
  <si>
    <r>
      <t xml:space="preserve">Цена работ
за ед.,
</t>
    </r>
    <r>
      <rPr>
        <b/>
        <i/>
        <sz val="9"/>
        <color theme="1"/>
        <rFont val="Times New Roman"/>
        <family val="1"/>
        <charset val="204"/>
      </rPr>
      <t>руб. с НДС</t>
    </r>
  </si>
  <si>
    <t>1.</t>
  </si>
  <si>
    <t>2.</t>
  </si>
  <si>
    <t>3.</t>
  </si>
  <si>
    <t>тн</t>
  </si>
  <si>
    <t>I.</t>
  </si>
  <si>
    <t>кг</t>
  </si>
  <si>
    <t>III.</t>
  </si>
  <si>
    <t>II.</t>
  </si>
  <si>
    <t>на выполнение работ: вынос инженерных сетей из пятна застройки. Наружные сети водопровода, хоз-бытовой канализации и  ливневой канализации.</t>
  </si>
  <si>
    <t>шт.</t>
  </si>
  <si>
    <t>Объект: «Семейный физкультурно-оздоровительный комплекс «Термолэнд-Дельфин»
по адресу: г. Смоленск, ул. Кутузова, д. 2Г</t>
  </si>
  <si>
    <t>Начальная максимальная цена контракта (НМЦК)</t>
  </si>
  <si>
    <t>Конструктивные решения</t>
  </si>
  <si>
    <t>Устройство вдавливаемых и забивных свай</t>
  </si>
  <si>
    <t>Разработка грунта котлована экскаваторами с погрузкой на автосамосвалы, вместимость ковша 1,25-1,6 м3, группа грунтов 2</t>
  </si>
  <si>
    <t>Разработка грунта вручную для доработки дна котлована с выкидкой грунта, группа грунтов 2</t>
  </si>
  <si>
    <t>Разработка грунта в отвал для дальнейшего использования для вертикальной планировки экскаваторами с ковшом вместимостью 0,65 м3, группа грунтов 2</t>
  </si>
  <si>
    <t xml:space="preserve">Работа на отвале на площадке строительства </t>
  </si>
  <si>
    <t>Погрузка в автосамосвал грунта от разработки, экскаваторами с емкостью ковша до 0,5 м3, группа грунтов 2</t>
  </si>
  <si>
    <t>Размещение и утилизация грунта на полигоне</t>
  </si>
  <si>
    <t>Обратная засыпка пазух котлована песком вручную с уплотнением, группа грунтов 1</t>
  </si>
  <si>
    <t>Песок природный I класс средний</t>
  </si>
  <si>
    <t>Извлечение существующих железобетонных свай 300х300 длиной 4 м с применением экскаватора с навесным оборудованием гидроножницы, гидромолот, 14 шт.</t>
  </si>
  <si>
    <t>Устройство лидерных скважин D150, глубиной 8 метров, роторным бурением с прямой промывкой при однокомпонентной технологии (jet1) в грунтах 1-2 группы</t>
  </si>
  <si>
    <t>м.п.</t>
  </si>
  <si>
    <t>Свая ж/б 300*300*12000 мм, серия 1.011-10 вып.1, С120.30-8.У, В30W6 F150, 137 шт.</t>
  </si>
  <si>
    <t>Вырубка бетона из оголовка существующих железобетонных свай, 300х300, L=0,55 м</t>
  </si>
  <si>
    <t>Наращивание армированием и бетонированием существующих железобетонных свай 300х300 на высоту L=2300 в деревянной опалубке, 162 шт.</t>
  </si>
  <si>
    <t>Бетон В30 F150 W8</t>
  </si>
  <si>
    <t>Арматура 6 А240</t>
  </si>
  <si>
    <t>Арматура Д12 А500С, L-2900 м, ГОСТ 34028-2016</t>
  </si>
  <si>
    <t>Щиты опалубки 40 мм, с оборачиваемостью</t>
  </si>
  <si>
    <t>Обмазочная гидроизоляция нарощенных свай на h=2,3м, в 2 слоя</t>
  </si>
  <si>
    <t>Мастика битумная для подземных конструкций холодная (расход 1 кг/м2)</t>
  </si>
  <si>
    <t>Демонтаж свай</t>
  </si>
  <si>
    <t>IV.</t>
  </si>
  <si>
    <t>Разработка грунта котлована механизированным и ручным способом</t>
  </si>
  <si>
    <t>Вывоз лишнего грунта на расстояние до 15 км</t>
  </si>
  <si>
    <t>Вывоз ж/б лома самосвалами грузоподъемностью до 15 т по автомобильным дорогам на расстояние 15 км</t>
  </si>
  <si>
    <t>Размещение и утилизация ж/б лома на полигоне</t>
  </si>
  <si>
    <t>Перемещение грунта на расстояние до 100м из отвала в место временного хранения на площадке строительства бульдозером, мощностью 59 кВт</t>
  </si>
  <si>
    <t>Вывоз грунта самосвалами грузоподъемностью до 15 т по автомобильным дорогам на расстояние 15 км, группа грунта 2</t>
  </si>
  <si>
    <t>Обратная засыпка котлована песком с перемещением до 5 м бульдозерами мощностью 59 кВт, группа грунтов 1</t>
  </si>
  <si>
    <t>Послойное уплотнение песка пневматическими трамбовками до коэф. 0,95, группа грунтов 1</t>
  </si>
  <si>
    <t>Погрузка в автосамосвал ж/б лома экскаваторами с емкостью ковша до 0,5 м3</t>
  </si>
  <si>
    <t>Устройство котлована и обратная засыпка песком</t>
  </si>
  <si>
    <t>Погрузка в автосамосвал грунта от бурения вручную, группа грунтов 1</t>
  </si>
  <si>
    <t>Вырубка бетона из оголовка железобетонных свай 300x300 при помощи отбойных молотков</t>
  </si>
  <si>
    <t>Обратная засыпка котлована песком с уплотнением до коэф. 0,95</t>
  </si>
  <si>
    <t>Демонтаж существующих свай и вывоз ж/б лома</t>
  </si>
  <si>
    <t>Наращивание существующих свай</t>
  </si>
  <si>
    <t>Свая ж/б 300*300*10000 мм, серия 1.011-10 вып.1, С100.30-8.У, В30W6 F150, 19 шт.</t>
  </si>
  <si>
    <t>Свая ж/б 300*300*8000 мм, серия 1.011-10 вып.1, С80.30-8.У, В30W6 F150, 22 шт.</t>
  </si>
  <si>
    <t>Устройство вдавливаемых железобетонных свай, 300x300 длиной 12 метров статической нагрузкой 120 т</t>
  </si>
  <si>
    <t>Устройство забивных железобетонных свай 300x300 длиной 8 м погружением дизель-молотом на гусеничном копре в грунты группы 1, 22 шт.</t>
  </si>
  <si>
    <t>Устройство забивных железобетонных свай 300x300 длиной 10 м погружением дизель-молотом на гусеничном копре в грунты группы 1, 19 шт.</t>
  </si>
  <si>
    <t>Устройство забивных железобетонных свай 300x300 длиной 12 м погружением дизель-молотом на гусеничном копре в грунты группы 1, 711 шт.</t>
  </si>
  <si>
    <t>Свая ж/б 300*300*12000 мм, серия 1.011-10 вып.1, С120.30-8.У, В30W6 F150, 711 шт.</t>
  </si>
  <si>
    <t>Наращивание существующих свай 300х300, L=2300, гидроизоляция, статические испытания свай</t>
  </si>
  <si>
    <t>Бурение лидерных скважин, устройство вдавливаемых и забивных свай, вывоз лишнего грунта на расстояние до 15 км, динамические и статические испытания свай</t>
  </si>
  <si>
    <t>Испытания забивных и вдавливаемых свай статической вдавливающей нагрузкой (№128 - 59тн, 291 - 59тн, 497 - 59тн, 730 вдавливаемая 59тн, 867 - 17тн)</t>
  </si>
  <si>
    <t>Испытания существующих свай статической вдавливающей нагрузкой (№1, 2, 3), 23 тн</t>
  </si>
  <si>
    <t>Наблюдения при динамических испытаниях свай (№39, 48, 321, 587) и составление отчета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</si>
</sst>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0" fontId="15" fillId="0" borderId="0"/>
    <xf numFmtId="0" fontId="18" fillId="5" borderId="2">
      <alignment horizontal="left" vertical="center" wrapText="1"/>
    </xf>
    <xf numFmtId="0" fontId="18" fillId="0" borderId="2">
      <alignment horizontal="center" vertical="center" wrapText="1"/>
    </xf>
    <xf numFmtId="43" fontId="15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10" fillId="2" borderId="1" xfId="1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4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4" fillId="0" borderId="5" xfId="0" applyFont="1" applyBorder="1" applyAlignment="1">
      <alignment horizontal="left" vertical="center" wrapText="1"/>
    </xf>
    <xf numFmtId="16" fontId="6" fillId="4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2" xfId="0" applyFont="1" applyFill="1" applyBorder="1" applyAlignment="1">
      <alignment horizontal="left" vertical="center" wrapText="1"/>
    </xf>
    <xf numFmtId="43" fontId="8" fillId="4" borderId="1" xfId="5" applyFont="1" applyFill="1" applyBorder="1" applyAlignment="1">
      <alignment vertical="center"/>
    </xf>
    <xf numFmtId="43" fontId="12" fillId="0" borderId="1" xfId="5" applyFont="1" applyBorder="1" applyAlignment="1">
      <alignment vertical="center"/>
    </xf>
    <xf numFmtId="43" fontId="8" fillId="0" borderId="1" xfId="5" applyFont="1" applyBorder="1" applyAlignment="1">
      <alignment vertical="center"/>
    </xf>
    <xf numFmtId="164" fontId="8" fillId="4" borderId="1" xfId="0" applyNumberFormat="1" applyFont="1" applyFill="1" applyBorder="1" applyAlignment="1">
      <alignment vertical="center"/>
    </xf>
    <xf numFmtId="43" fontId="8" fillId="0" borderId="1" xfId="5" applyFont="1" applyFill="1" applyBorder="1" applyAlignment="1">
      <alignment vertical="center"/>
    </xf>
    <xf numFmtId="43" fontId="8" fillId="0" borderId="1" xfId="5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right" vertical="center"/>
    </xf>
    <xf numFmtId="0" fontId="19" fillId="0" borderId="3" xfId="0" applyFont="1" applyBorder="1" applyAlignment="1">
      <alignment vertical="center"/>
    </xf>
    <xf numFmtId="43" fontId="12" fillId="4" borderId="1" xfId="5" applyFont="1" applyFill="1" applyBorder="1" applyAlignment="1">
      <alignment vertical="center"/>
    </xf>
    <xf numFmtId="0" fontId="14" fillId="0" borderId="2" xfId="0" applyFont="1" applyFill="1" applyBorder="1" applyAlignment="1">
      <alignment horizontal="left" vertical="center" wrapText="1"/>
    </xf>
    <xf numFmtId="43" fontId="8" fillId="0" borderId="1" xfId="5" applyFont="1" applyFill="1" applyBorder="1" applyAlignment="1">
      <alignment horizontal="center" vertical="center"/>
    </xf>
    <xf numFmtId="43" fontId="8" fillId="0" borderId="3" xfId="5" applyFont="1" applyFill="1" applyBorder="1" applyAlignment="1">
      <alignment vertical="center"/>
    </xf>
    <xf numFmtId="43" fontId="12" fillId="0" borderId="1" xfId="5" applyFont="1" applyFill="1" applyBorder="1" applyAlignment="1">
      <alignment vertical="center" wrapText="1"/>
    </xf>
    <xf numFmtId="43" fontId="12" fillId="0" borderId="1" xfId="5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2" xfId="3" applyFont="1" applyFill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3" fontId="12" fillId="3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wrapText="1"/>
    </xf>
    <xf numFmtId="16" fontId="7" fillId="4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3" fontId="12" fillId="0" borderId="1" xfId="5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3" fontId="19" fillId="0" borderId="1" xfId="5" applyFont="1" applyFill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</cellXfs>
  <cellStyles count="6">
    <cellStyle name="Normal" xfId="2" xr:uid="{00000000-0005-0000-0000-000000000000}"/>
    <cellStyle name="vor_itm_table_style" xfId="4" xr:uid="{00000000-0005-0000-0000-000001000000}"/>
    <cellStyle name="vor_itm_table_style_left" xfId="3" xr:uid="{00000000-0005-0000-0000-000002000000}"/>
    <cellStyle name="Обычный" xfId="0" builtinId="0"/>
    <cellStyle name="Обычный 2 6" xfId="1" xr:uid="{00000000-0005-0000-0000-000004000000}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58"/>
  <sheetViews>
    <sheetView tabSelected="1" view="pageBreakPreview" zoomScale="115" zoomScaleNormal="115" zoomScaleSheetLayoutView="115" workbookViewId="0">
      <selection activeCell="B17" sqref="B17"/>
    </sheetView>
  </sheetViews>
  <sheetFormatPr defaultRowHeight="12.75" outlineLevelRow="1" x14ac:dyDescent="0.25"/>
  <cols>
    <col min="1" max="1" width="6.5703125" style="4" bestFit="1" customWidth="1"/>
    <col min="2" max="2" width="80.5703125" style="22" customWidth="1"/>
    <col min="3" max="3" width="8.5703125" style="9" bestFit="1" customWidth="1"/>
    <col min="4" max="4" width="9.42578125" style="80" customWidth="1"/>
    <col min="5" max="5" width="11.140625" style="10" bestFit="1" customWidth="1"/>
    <col min="6" max="6" width="11.5703125" style="10" bestFit="1" customWidth="1"/>
    <col min="7" max="7" width="13.5703125" style="10" bestFit="1" customWidth="1"/>
    <col min="8" max="8" width="14.5703125" style="10" customWidth="1"/>
    <col min="9" max="9" width="15.5703125" style="10" customWidth="1"/>
    <col min="10" max="10" width="34.140625" style="3" bestFit="1" customWidth="1"/>
    <col min="11" max="11" width="14.7109375" style="11" bestFit="1" customWidth="1"/>
    <col min="12" max="16384" width="9.140625" style="3"/>
  </cols>
  <sheetData>
    <row r="1" spans="1:11" ht="15.75" x14ac:dyDescent="0.25">
      <c r="A1" s="93" t="s">
        <v>24</v>
      </c>
      <c r="B1" s="93"/>
      <c r="C1" s="93"/>
      <c r="D1" s="93"/>
      <c r="E1" s="20"/>
      <c r="F1" s="20"/>
      <c r="G1" s="20"/>
      <c r="H1" s="20"/>
      <c r="I1" s="20"/>
      <c r="J1" s="20"/>
    </row>
    <row r="2" spans="1:11" ht="30.75" customHeight="1" x14ac:dyDescent="0.25">
      <c r="A2" s="93" t="s">
        <v>21</v>
      </c>
      <c r="B2" s="93"/>
      <c r="C2" s="93"/>
      <c r="D2" s="93"/>
      <c r="E2" s="20"/>
      <c r="F2" s="20"/>
      <c r="G2" s="20"/>
      <c r="H2" s="20"/>
      <c r="I2" s="20"/>
      <c r="J2" s="20"/>
    </row>
    <row r="3" spans="1:11" s="1" customFormat="1" ht="14.25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12"/>
    </row>
    <row r="4" spans="1:11" s="18" customFormat="1" ht="26.25" customHeight="1" x14ac:dyDescent="0.25">
      <c r="A4" s="95" t="s">
        <v>23</v>
      </c>
      <c r="B4" s="95"/>
      <c r="C4" s="95"/>
      <c r="D4" s="95"/>
      <c r="E4" s="2"/>
      <c r="F4" s="2"/>
      <c r="G4" s="2"/>
      <c r="H4" s="2"/>
      <c r="I4" s="2"/>
      <c r="J4" s="2"/>
      <c r="K4" s="12"/>
    </row>
    <row r="5" spans="1:11" s="19" customFormat="1" x14ac:dyDescent="0.25">
      <c r="A5" s="95"/>
      <c r="B5" s="95"/>
      <c r="C5" s="95"/>
      <c r="D5" s="95"/>
      <c r="E5" s="2"/>
      <c r="F5" s="2"/>
      <c r="G5" s="2"/>
      <c r="H5" s="2"/>
      <c r="I5" s="2"/>
      <c r="J5" s="2"/>
      <c r="K5" s="12"/>
    </row>
    <row r="6" spans="1:11" x14ac:dyDescent="0.25">
      <c r="B6" s="22" t="s">
        <v>9</v>
      </c>
      <c r="D6" s="72"/>
      <c r="E6" s="3"/>
      <c r="F6" s="3"/>
      <c r="G6" s="3"/>
      <c r="H6" s="3"/>
      <c r="I6" s="3"/>
    </row>
    <row r="8" spans="1:11" s="8" customFormat="1" ht="54" x14ac:dyDescent="0.25">
      <c r="A8" s="5" t="s">
        <v>1</v>
      </c>
      <c r="B8" s="6" t="s">
        <v>2</v>
      </c>
      <c r="C8" s="6" t="s">
        <v>3</v>
      </c>
      <c r="D8" s="73" t="s">
        <v>4</v>
      </c>
      <c r="E8" s="7" t="s">
        <v>11</v>
      </c>
      <c r="F8" s="7" t="s">
        <v>12</v>
      </c>
      <c r="G8" s="7" t="s">
        <v>6</v>
      </c>
      <c r="H8" s="7" t="s">
        <v>7</v>
      </c>
      <c r="I8" s="7" t="s">
        <v>8</v>
      </c>
      <c r="J8" s="6" t="s">
        <v>5</v>
      </c>
      <c r="K8" s="13"/>
    </row>
    <row r="9" spans="1:11" s="17" customFormat="1" ht="13.5" x14ac:dyDescent="0.25">
      <c r="A9" s="14"/>
      <c r="B9" s="15" t="s">
        <v>25</v>
      </c>
      <c r="C9" s="14"/>
      <c r="D9" s="74"/>
      <c r="E9" s="16"/>
      <c r="F9" s="16"/>
      <c r="G9" s="16"/>
      <c r="H9" s="16"/>
      <c r="I9" s="50">
        <f>I10+I32+I26+I48</f>
        <v>50601583.490000002</v>
      </c>
      <c r="J9" s="16"/>
    </row>
    <row r="10" spans="1:11" s="28" customFormat="1" ht="13.5" x14ac:dyDescent="0.25">
      <c r="A10" s="21" t="s">
        <v>17</v>
      </c>
      <c r="B10" s="23" t="s">
        <v>58</v>
      </c>
      <c r="C10" s="21"/>
      <c r="D10" s="75"/>
      <c r="E10" s="21"/>
      <c r="F10" s="21"/>
      <c r="G10" s="21"/>
      <c r="H10" s="21"/>
      <c r="I10" s="71">
        <f>SUM(I11:I25)</f>
        <v>6958108.7300000004</v>
      </c>
      <c r="J10" s="21"/>
    </row>
    <row r="11" spans="1:11" s="42" customFormat="1" x14ac:dyDescent="0.25">
      <c r="A11" s="59" t="s">
        <v>13</v>
      </c>
      <c r="B11" s="60" t="s">
        <v>49</v>
      </c>
      <c r="C11" s="59" t="s">
        <v>0</v>
      </c>
      <c r="D11" s="76">
        <f>D12+D13+D14</f>
        <v>11843</v>
      </c>
      <c r="E11" s="48">
        <f>G11/D11</f>
        <v>0</v>
      </c>
      <c r="F11" s="54">
        <f>H11/D11</f>
        <v>231.6</v>
      </c>
      <c r="G11" s="48">
        <v>0</v>
      </c>
      <c r="H11" s="54">
        <f>2742838.8-G11</f>
        <v>2742838.8</v>
      </c>
      <c r="I11" s="48">
        <f>G11+H11</f>
        <v>2742838.8</v>
      </c>
      <c r="J11" s="47"/>
      <c r="K11" s="41"/>
    </row>
    <row r="12" spans="1:11" ht="25.5" outlineLevel="1" x14ac:dyDescent="0.25">
      <c r="A12" s="61"/>
      <c r="B12" s="62" t="s">
        <v>27</v>
      </c>
      <c r="C12" s="58" t="s">
        <v>0</v>
      </c>
      <c r="D12" s="77">
        <v>8545.5</v>
      </c>
      <c r="E12" s="48"/>
      <c r="F12" s="48"/>
      <c r="G12" s="48"/>
      <c r="H12" s="48"/>
      <c r="I12" s="48">
        <f t="shared" ref="I12:I51" si="0">G12+H12</f>
        <v>0</v>
      </c>
      <c r="J12" s="29"/>
    </row>
    <row r="13" spans="1:11" ht="13.5" outlineLevel="1" x14ac:dyDescent="0.25">
      <c r="A13" s="61"/>
      <c r="B13" s="63" t="s">
        <v>28</v>
      </c>
      <c r="C13" s="58" t="s">
        <v>0</v>
      </c>
      <c r="D13" s="77">
        <v>463</v>
      </c>
      <c r="E13" s="48"/>
      <c r="F13" s="48"/>
      <c r="G13" s="48"/>
      <c r="H13" s="48"/>
      <c r="I13" s="48">
        <f t="shared" ref="I13:I18" si="1">G13+H13</f>
        <v>0</v>
      </c>
      <c r="J13" s="29"/>
    </row>
    <row r="14" spans="1:11" ht="27.75" customHeight="1" outlineLevel="1" x14ac:dyDescent="0.25">
      <c r="A14" s="64"/>
      <c r="B14" s="65" t="s">
        <v>29</v>
      </c>
      <c r="C14" s="66" t="s">
        <v>0</v>
      </c>
      <c r="D14" s="78">
        <v>2834.5</v>
      </c>
      <c r="E14" s="55"/>
      <c r="F14" s="55"/>
      <c r="G14" s="55"/>
      <c r="H14" s="55"/>
      <c r="I14" s="48">
        <f t="shared" si="1"/>
        <v>0</v>
      </c>
      <c r="J14" s="30"/>
    </row>
    <row r="15" spans="1:11" ht="27.75" customHeight="1" outlineLevel="1" x14ac:dyDescent="0.25">
      <c r="A15" s="64"/>
      <c r="B15" s="67" t="s">
        <v>53</v>
      </c>
      <c r="C15" s="66" t="s">
        <v>0</v>
      </c>
      <c r="D15" s="78">
        <v>2834.5</v>
      </c>
      <c r="E15" s="55"/>
      <c r="F15" s="55"/>
      <c r="G15" s="55"/>
      <c r="H15" s="55"/>
      <c r="I15" s="48">
        <f t="shared" si="1"/>
        <v>0</v>
      </c>
      <c r="J15" s="30"/>
    </row>
    <row r="16" spans="1:11" ht="13.5" outlineLevel="1" x14ac:dyDescent="0.25">
      <c r="A16" s="64"/>
      <c r="B16" s="68" t="s">
        <v>30</v>
      </c>
      <c r="C16" s="58" t="s">
        <v>0</v>
      </c>
      <c r="D16" s="78">
        <v>2834.5</v>
      </c>
      <c r="E16" s="55"/>
      <c r="F16" s="55"/>
      <c r="G16" s="55"/>
      <c r="H16" s="55"/>
      <c r="I16" s="48">
        <f t="shared" si="1"/>
        <v>0</v>
      </c>
      <c r="J16" s="30"/>
    </row>
    <row r="17" spans="1:11" s="42" customFormat="1" x14ac:dyDescent="0.25">
      <c r="A17" s="59" t="s">
        <v>14</v>
      </c>
      <c r="B17" s="60" t="s">
        <v>50</v>
      </c>
      <c r="C17" s="59" t="s">
        <v>0</v>
      </c>
      <c r="D17" s="76">
        <f>D11-D14</f>
        <v>9008.5</v>
      </c>
      <c r="E17" s="48">
        <f>G17/D17</f>
        <v>0</v>
      </c>
      <c r="F17" s="54">
        <f>H17/D17</f>
        <v>396.76800022201252</v>
      </c>
      <c r="G17" s="48">
        <v>0</v>
      </c>
      <c r="H17" s="54">
        <f>3574284.53-G17</f>
        <v>3574284.53</v>
      </c>
      <c r="I17" s="48">
        <f>G17+H17</f>
        <v>3574284.53</v>
      </c>
      <c r="J17" s="47"/>
      <c r="K17" s="41"/>
    </row>
    <row r="18" spans="1:11" ht="25.5" outlineLevel="1" x14ac:dyDescent="0.25">
      <c r="A18" s="64"/>
      <c r="B18" s="68" t="s">
        <v>31</v>
      </c>
      <c r="C18" s="66" t="s">
        <v>16</v>
      </c>
      <c r="D18" s="78">
        <f>D13*1.7</f>
        <v>787.1</v>
      </c>
      <c r="E18" s="55"/>
      <c r="F18" s="55"/>
      <c r="G18" s="55"/>
      <c r="H18" s="55"/>
      <c r="I18" s="48">
        <f t="shared" si="1"/>
        <v>0</v>
      </c>
      <c r="J18" s="30"/>
    </row>
    <row r="19" spans="1:11" ht="25.5" outlineLevel="1" x14ac:dyDescent="0.25">
      <c r="A19" s="64"/>
      <c r="B19" s="68" t="s">
        <v>54</v>
      </c>
      <c r="C19" s="66" t="s">
        <v>16</v>
      </c>
      <c r="D19" s="78">
        <f>D17*1.7</f>
        <v>15314.449999999999</v>
      </c>
      <c r="E19" s="55"/>
      <c r="F19" s="55"/>
      <c r="G19" s="55"/>
      <c r="H19" s="55"/>
      <c r="I19" s="48">
        <f t="shared" ref="I19" si="2">G19+H19</f>
        <v>0</v>
      </c>
      <c r="J19" s="30"/>
    </row>
    <row r="20" spans="1:11" ht="13.5" outlineLevel="1" x14ac:dyDescent="0.25">
      <c r="A20" s="64"/>
      <c r="B20" s="68" t="s">
        <v>32</v>
      </c>
      <c r="C20" s="66" t="s">
        <v>0</v>
      </c>
      <c r="D20" s="78">
        <f>D17</f>
        <v>9008.5</v>
      </c>
      <c r="E20" s="55"/>
      <c r="F20" s="55"/>
      <c r="G20" s="55"/>
      <c r="H20" s="55"/>
      <c r="I20" s="48">
        <f>G20+H20</f>
        <v>0</v>
      </c>
      <c r="J20" s="30"/>
    </row>
    <row r="21" spans="1:11" s="42" customFormat="1" x14ac:dyDescent="0.25">
      <c r="A21" s="59" t="s">
        <v>15</v>
      </c>
      <c r="B21" s="60" t="s">
        <v>61</v>
      </c>
      <c r="C21" s="59" t="s">
        <v>0</v>
      </c>
      <c r="D21" s="76">
        <f>D22+D23</f>
        <v>810</v>
      </c>
      <c r="E21" s="48">
        <f>G21/D21</f>
        <v>580.82573333333335</v>
      </c>
      <c r="F21" s="54">
        <f>H21/D21</f>
        <v>210.51426666666671</v>
      </c>
      <c r="G21" s="48">
        <f>392057.37*1.2</f>
        <v>470468.84399999998</v>
      </c>
      <c r="H21" s="54">
        <f>640985.4-G21</f>
        <v>170516.55600000004</v>
      </c>
      <c r="I21" s="48">
        <f>G21+H21</f>
        <v>640985.4</v>
      </c>
      <c r="J21" s="47"/>
      <c r="K21" s="41"/>
    </row>
    <row r="22" spans="1:11" ht="25.5" outlineLevel="1" x14ac:dyDescent="0.25">
      <c r="A22" s="64"/>
      <c r="B22" s="68" t="s">
        <v>55</v>
      </c>
      <c r="C22" s="66" t="s">
        <v>0</v>
      </c>
      <c r="D22" s="78">
        <v>729</v>
      </c>
      <c r="E22" s="55"/>
      <c r="F22" s="55"/>
      <c r="G22" s="55"/>
      <c r="H22" s="55"/>
      <c r="I22" s="48">
        <f t="shared" ref="I22" si="3">G22+H22</f>
        <v>0</v>
      </c>
      <c r="J22" s="51"/>
    </row>
    <row r="23" spans="1:11" ht="13.5" outlineLevel="1" x14ac:dyDescent="0.25">
      <c r="A23" s="61"/>
      <c r="B23" s="63" t="s">
        <v>33</v>
      </c>
      <c r="C23" s="58" t="s">
        <v>0</v>
      </c>
      <c r="D23" s="77">
        <v>81</v>
      </c>
      <c r="E23" s="48"/>
      <c r="F23" s="48"/>
      <c r="G23" s="48"/>
      <c r="H23" s="48"/>
      <c r="I23" s="48">
        <f t="shared" si="0"/>
        <v>0</v>
      </c>
      <c r="J23" s="29"/>
    </row>
    <row r="24" spans="1:11" ht="13.5" outlineLevel="1" x14ac:dyDescent="0.2">
      <c r="A24" s="81"/>
      <c r="B24" s="82" t="s">
        <v>34</v>
      </c>
      <c r="C24" s="70" t="s">
        <v>0</v>
      </c>
      <c r="D24" s="79">
        <v>891.00000000000011</v>
      </c>
      <c r="E24" s="57"/>
      <c r="F24" s="57"/>
      <c r="G24" s="57"/>
      <c r="H24" s="57"/>
      <c r="I24" s="57">
        <f t="shared" si="0"/>
        <v>0</v>
      </c>
      <c r="J24" s="29"/>
    </row>
    <row r="25" spans="1:11" ht="15" customHeight="1" outlineLevel="1" x14ac:dyDescent="0.25">
      <c r="A25" s="64"/>
      <c r="B25" s="65" t="s">
        <v>56</v>
      </c>
      <c r="C25" s="66" t="s">
        <v>0</v>
      </c>
      <c r="D25" s="78">
        <f>D22</f>
        <v>729</v>
      </c>
      <c r="E25" s="55"/>
      <c r="F25" s="55"/>
      <c r="G25" s="55"/>
      <c r="H25" s="55"/>
      <c r="I25" s="48">
        <f t="shared" si="0"/>
        <v>0</v>
      </c>
      <c r="J25" s="30"/>
    </row>
    <row r="26" spans="1:11" s="28" customFormat="1" ht="13.5" x14ac:dyDescent="0.25">
      <c r="A26" s="21" t="s">
        <v>20</v>
      </c>
      <c r="B26" s="23" t="s">
        <v>47</v>
      </c>
      <c r="C26" s="21"/>
      <c r="D26" s="75"/>
      <c r="E26" s="21"/>
      <c r="F26" s="21"/>
      <c r="G26" s="21"/>
      <c r="H26" s="21"/>
      <c r="I26" s="71">
        <f>SUM(I27:I29)</f>
        <v>76795.149999999994</v>
      </c>
      <c r="J26" s="21"/>
    </row>
    <row r="27" spans="1:11" s="42" customFormat="1" x14ac:dyDescent="0.25">
      <c r="A27" s="59" t="s">
        <v>13</v>
      </c>
      <c r="B27" s="60" t="s">
        <v>62</v>
      </c>
      <c r="C27" s="59" t="s">
        <v>22</v>
      </c>
      <c r="D27" s="76">
        <v>14</v>
      </c>
      <c r="E27" s="48">
        <f>G27/D27</f>
        <v>0</v>
      </c>
      <c r="F27" s="54">
        <f>H27/D27</f>
        <v>5485.3678571428563</v>
      </c>
      <c r="G27" s="48">
        <v>0</v>
      </c>
      <c r="H27" s="54">
        <f>76795.15-G27</f>
        <v>76795.149999999994</v>
      </c>
      <c r="I27" s="48">
        <f>G27+H27</f>
        <v>76795.149999999994</v>
      </c>
      <c r="J27" s="47"/>
      <c r="K27" s="41"/>
    </row>
    <row r="28" spans="1:11" ht="25.5" outlineLevel="1" x14ac:dyDescent="0.25">
      <c r="A28" s="64"/>
      <c r="B28" s="67" t="s">
        <v>35</v>
      </c>
      <c r="C28" s="66" t="s">
        <v>0</v>
      </c>
      <c r="D28" s="78">
        <v>5.04</v>
      </c>
      <c r="E28" s="55"/>
      <c r="F28" s="55"/>
      <c r="G28" s="55"/>
      <c r="H28" s="55"/>
      <c r="I28" s="48">
        <f t="shared" si="0"/>
        <v>0</v>
      </c>
      <c r="J28" s="30"/>
    </row>
    <row r="29" spans="1:11" ht="13.5" outlineLevel="1" x14ac:dyDescent="0.25">
      <c r="A29" s="64"/>
      <c r="B29" s="68" t="s">
        <v>57</v>
      </c>
      <c r="C29" s="58" t="s">
        <v>16</v>
      </c>
      <c r="D29" s="78">
        <v>12.096</v>
      </c>
      <c r="E29" s="55"/>
      <c r="F29" s="55"/>
      <c r="G29" s="55"/>
      <c r="H29" s="55"/>
      <c r="I29" s="48">
        <f t="shared" si="0"/>
        <v>0</v>
      </c>
      <c r="J29" s="30"/>
    </row>
    <row r="30" spans="1:11" ht="25.5" outlineLevel="1" x14ac:dyDescent="0.25">
      <c r="A30" s="64"/>
      <c r="B30" s="68" t="s">
        <v>51</v>
      </c>
      <c r="C30" s="66" t="s">
        <v>16</v>
      </c>
      <c r="D30" s="78">
        <f>D29</f>
        <v>12.096</v>
      </c>
      <c r="E30" s="55"/>
      <c r="F30" s="55"/>
      <c r="G30" s="55"/>
      <c r="H30" s="55"/>
      <c r="I30" s="48">
        <f t="shared" si="0"/>
        <v>0</v>
      </c>
      <c r="J30" s="30"/>
    </row>
    <row r="31" spans="1:11" ht="13.5" outlineLevel="1" x14ac:dyDescent="0.25">
      <c r="A31" s="64"/>
      <c r="B31" s="68" t="s">
        <v>52</v>
      </c>
      <c r="C31" s="66" t="s">
        <v>0</v>
      </c>
      <c r="D31" s="78">
        <f>D28</f>
        <v>5.04</v>
      </c>
      <c r="E31" s="55"/>
      <c r="F31" s="55"/>
      <c r="G31" s="55"/>
      <c r="H31" s="55"/>
      <c r="I31" s="48">
        <f>G31+H31</f>
        <v>0</v>
      </c>
      <c r="J31" s="30"/>
    </row>
    <row r="32" spans="1:11" s="28" customFormat="1" ht="13.5" x14ac:dyDescent="0.25">
      <c r="A32" s="21" t="s">
        <v>19</v>
      </c>
      <c r="B32" s="23" t="s">
        <v>26</v>
      </c>
      <c r="C32" s="21"/>
      <c r="D32" s="75"/>
      <c r="E32" s="21"/>
      <c r="F32" s="21"/>
      <c r="G32" s="21"/>
      <c r="H32" s="21"/>
      <c r="I32" s="71">
        <f>SUM(I33:I47)</f>
        <v>41864567.659999996</v>
      </c>
      <c r="J32" s="21"/>
    </row>
    <row r="33" spans="1:10" s="28" customFormat="1" ht="25.5" x14ac:dyDescent="0.25">
      <c r="A33" s="24" t="s">
        <v>13</v>
      </c>
      <c r="B33" s="25" t="s">
        <v>72</v>
      </c>
      <c r="C33" s="59" t="s">
        <v>22</v>
      </c>
      <c r="D33" s="76">
        <v>963</v>
      </c>
      <c r="E33" s="48">
        <f>G33/D33</f>
        <v>21960.925956386291</v>
      </c>
      <c r="F33" s="54">
        <f>H33/D33</f>
        <v>21512.145341640709</v>
      </c>
      <c r="G33" s="54">
        <f>(14548080.1+300101.04+2775461.94)*1.2</f>
        <v>21148371.695999999</v>
      </c>
      <c r="H33" s="54">
        <f>41588310.86-G33+276256.8</f>
        <v>20716195.964000002</v>
      </c>
      <c r="I33" s="48">
        <f>G33+H33</f>
        <v>41864567.659999996</v>
      </c>
      <c r="J33" s="24"/>
    </row>
    <row r="34" spans="1:10" ht="25.5" outlineLevel="1" x14ac:dyDescent="0.25">
      <c r="A34" s="64"/>
      <c r="B34" s="68" t="s">
        <v>36</v>
      </c>
      <c r="C34" s="66" t="s">
        <v>37</v>
      </c>
      <c r="D34" s="78">
        <v>7704</v>
      </c>
      <c r="E34" s="55"/>
      <c r="F34" s="55"/>
      <c r="G34" s="55"/>
      <c r="H34" s="55"/>
      <c r="I34" s="48">
        <f>G34+H34</f>
        <v>0</v>
      </c>
      <c r="J34" s="30"/>
    </row>
    <row r="35" spans="1:10" ht="13.5" outlineLevel="1" x14ac:dyDescent="0.25">
      <c r="A35" s="64"/>
      <c r="B35" s="69" t="s">
        <v>59</v>
      </c>
      <c r="C35" s="66" t="s">
        <v>0</v>
      </c>
      <c r="D35" s="78">
        <v>176.8</v>
      </c>
      <c r="E35" s="55"/>
      <c r="F35" s="55"/>
      <c r="G35" s="55"/>
      <c r="H35" s="55"/>
      <c r="I35" s="48">
        <f>G35+H35</f>
        <v>0</v>
      </c>
      <c r="J35" s="30"/>
    </row>
    <row r="36" spans="1:10" ht="27.75" customHeight="1" outlineLevel="1" x14ac:dyDescent="0.25">
      <c r="A36" s="64"/>
      <c r="B36" s="68" t="s">
        <v>54</v>
      </c>
      <c r="C36" s="66" t="s">
        <v>16</v>
      </c>
      <c r="D36" s="78">
        <f>D35*1.7</f>
        <v>300.56</v>
      </c>
      <c r="E36" s="55"/>
      <c r="F36" s="55"/>
      <c r="G36" s="55"/>
      <c r="H36" s="55"/>
      <c r="I36" s="48">
        <f t="shared" ref="I36" si="4">G36+H36</f>
        <v>0</v>
      </c>
      <c r="J36" s="30"/>
    </row>
    <row r="37" spans="1:10" s="28" customFormat="1" ht="25.5" outlineLevel="1" x14ac:dyDescent="0.25">
      <c r="A37" s="40"/>
      <c r="B37" s="62" t="s">
        <v>69</v>
      </c>
      <c r="C37" s="58" t="s">
        <v>0</v>
      </c>
      <c r="D37" s="77">
        <v>767.88</v>
      </c>
      <c r="E37" s="54"/>
      <c r="F37" s="54"/>
      <c r="G37" s="54"/>
      <c r="H37" s="54"/>
      <c r="I37" s="44">
        <f t="shared" si="0"/>
        <v>0</v>
      </c>
      <c r="J37" s="24"/>
    </row>
    <row r="38" spans="1:10" s="87" customFormat="1" ht="13.5" outlineLevel="1" x14ac:dyDescent="0.25">
      <c r="A38" s="83"/>
      <c r="B38" s="84" t="s">
        <v>70</v>
      </c>
      <c r="C38" s="70" t="s">
        <v>0</v>
      </c>
      <c r="D38" s="26">
        <v>775.55880000000002</v>
      </c>
      <c r="E38" s="85"/>
      <c r="F38" s="85"/>
      <c r="G38" s="85"/>
      <c r="H38" s="85"/>
      <c r="I38" s="52">
        <f t="shared" ref="I38:I39" si="5">G38+H38</f>
        <v>0</v>
      </c>
      <c r="J38" s="86"/>
    </row>
    <row r="39" spans="1:10" s="28" customFormat="1" ht="25.5" outlineLevel="1" x14ac:dyDescent="0.25">
      <c r="A39" s="40"/>
      <c r="B39" s="62" t="s">
        <v>67</v>
      </c>
      <c r="C39" s="58" t="s">
        <v>0</v>
      </c>
      <c r="D39" s="77">
        <v>15.84</v>
      </c>
      <c r="E39" s="54"/>
      <c r="F39" s="54"/>
      <c r="G39" s="54"/>
      <c r="H39" s="54"/>
      <c r="I39" s="44">
        <f t="shared" si="5"/>
        <v>0</v>
      </c>
      <c r="J39" s="24"/>
    </row>
    <row r="40" spans="1:10" s="87" customFormat="1" ht="13.5" outlineLevel="1" x14ac:dyDescent="0.25">
      <c r="A40" s="83"/>
      <c r="B40" s="84" t="s">
        <v>65</v>
      </c>
      <c r="C40" s="70" t="s">
        <v>0</v>
      </c>
      <c r="D40" s="26">
        <v>15.9984</v>
      </c>
      <c r="E40" s="85"/>
      <c r="F40" s="85"/>
      <c r="G40" s="85"/>
      <c r="H40" s="85"/>
      <c r="I40" s="52">
        <f t="shared" ref="I40:I41" si="6">G40+H40</f>
        <v>0</v>
      </c>
      <c r="J40" s="86"/>
    </row>
    <row r="41" spans="1:10" s="28" customFormat="1" ht="25.5" outlineLevel="1" x14ac:dyDescent="0.25">
      <c r="A41" s="40"/>
      <c r="B41" s="62" t="s">
        <v>68</v>
      </c>
      <c r="C41" s="58" t="s">
        <v>0</v>
      </c>
      <c r="D41" s="77">
        <v>17.099999999999998</v>
      </c>
      <c r="E41" s="54"/>
      <c r="F41" s="54"/>
      <c r="G41" s="54"/>
      <c r="H41" s="54"/>
      <c r="I41" s="44">
        <f t="shared" si="6"/>
        <v>0</v>
      </c>
      <c r="J41" s="24"/>
    </row>
    <row r="42" spans="1:10" s="87" customFormat="1" ht="13.5" outlineLevel="1" x14ac:dyDescent="0.25">
      <c r="A42" s="83"/>
      <c r="B42" s="84" t="s">
        <v>64</v>
      </c>
      <c r="C42" s="70" t="s">
        <v>0</v>
      </c>
      <c r="D42" s="26">
        <v>17.270999999999997</v>
      </c>
      <c r="E42" s="85"/>
      <c r="F42" s="85"/>
      <c r="G42" s="85"/>
      <c r="H42" s="85"/>
      <c r="I42" s="52">
        <f t="shared" ref="I42" si="7">G42+H42</f>
        <v>0</v>
      </c>
      <c r="J42" s="86"/>
    </row>
    <row r="43" spans="1:10" s="33" customFormat="1" ht="25.5" outlineLevel="1" x14ac:dyDescent="0.25">
      <c r="A43" s="31"/>
      <c r="B43" s="62" t="s">
        <v>66</v>
      </c>
      <c r="C43" s="58" t="s">
        <v>0</v>
      </c>
      <c r="D43" s="77">
        <v>147.96</v>
      </c>
      <c r="E43" s="48"/>
      <c r="F43" s="48"/>
      <c r="G43" s="48"/>
      <c r="H43" s="48"/>
      <c r="I43" s="44">
        <f t="shared" si="0"/>
        <v>0</v>
      </c>
      <c r="J43" s="32"/>
    </row>
    <row r="44" spans="1:10" s="38" customFormat="1" ht="13.5" outlineLevel="1" x14ac:dyDescent="0.25">
      <c r="A44" s="35"/>
      <c r="B44" s="84" t="s">
        <v>38</v>
      </c>
      <c r="C44" s="70" t="s">
        <v>0</v>
      </c>
      <c r="D44" s="79">
        <v>147.96</v>
      </c>
      <c r="E44" s="57"/>
      <c r="F44" s="57"/>
      <c r="G44" s="57"/>
      <c r="H44" s="57"/>
      <c r="I44" s="52">
        <f>G44+H44</f>
        <v>0</v>
      </c>
      <c r="J44" s="37"/>
    </row>
    <row r="45" spans="1:10" s="33" customFormat="1" outlineLevel="1" x14ac:dyDescent="0.25">
      <c r="A45" s="31"/>
      <c r="B45" s="53" t="s">
        <v>60</v>
      </c>
      <c r="C45" s="58" t="s">
        <v>22</v>
      </c>
      <c r="D45" s="77">
        <v>963</v>
      </c>
      <c r="E45" s="48"/>
      <c r="F45" s="48"/>
      <c r="G45" s="48"/>
      <c r="H45" s="48"/>
      <c r="I45" s="44">
        <f>G45+H45</f>
        <v>0</v>
      </c>
      <c r="J45" s="32"/>
    </row>
    <row r="46" spans="1:10" s="87" customFormat="1" ht="13.5" outlineLevel="1" x14ac:dyDescent="0.25">
      <c r="A46" s="83"/>
      <c r="B46" s="62" t="s">
        <v>75</v>
      </c>
      <c r="C46" s="58" t="s">
        <v>22</v>
      </c>
      <c r="D46" s="96">
        <v>4</v>
      </c>
      <c r="E46" s="85"/>
      <c r="F46" s="85"/>
      <c r="G46" s="85"/>
      <c r="H46" s="85"/>
      <c r="I46" s="52"/>
      <c r="J46" s="86"/>
    </row>
    <row r="47" spans="1:10" s="33" customFormat="1" ht="25.5" outlineLevel="1" x14ac:dyDescent="0.25">
      <c r="A47" s="31"/>
      <c r="B47" s="97" t="s">
        <v>73</v>
      </c>
      <c r="C47" s="58" t="s">
        <v>22</v>
      </c>
      <c r="D47" s="77">
        <v>5</v>
      </c>
      <c r="E47" s="48"/>
      <c r="F47" s="48"/>
      <c r="G47" s="48"/>
      <c r="H47" s="48"/>
      <c r="I47" s="44">
        <f t="shared" si="0"/>
        <v>0</v>
      </c>
      <c r="J47" s="32"/>
    </row>
    <row r="48" spans="1:10" s="28" customFormat="1" ht="13.5" x14ac:dyDescent="0.25">
      <c r="A48" s="21" t="s">
        <v>48</v>
      </c>
      <c r="B48" s="23" t="s">
        <v>63</v>
      </c>
      <c r="C48" s="21"/>
      <c r="D48" s="75"/>
      <c r="E48" s="21"/>
      <c r="F48" s="21"/>
      <c r="G48" s="21"/>
      <c r="H48" s="21"/>
      <c r="I48" s="71">
        <f>SUM(I49:I57)</f>
        <v>1702111.9500000002</v>
      </c>
      <c r="J48" s="21"/>
    </row>
    <row r="49" spans="1:10" s="33" customFormat="1" ht="25.5" x14ac:dyDescent="0.25">
      <c r="A49" s="36" t="s">
        <v>13</v>
      </c>
      <c r="B49" s="43" t="s">
        <v>71</v>
      </c>
      <c r="C49" s="59" t="s">
        <v>22</v>
      </c>
      <c r="D49" s="76">
        <v>162</v>
      </c>
      <c r="E49" s="48">
        <f>G49/D49</f>
        <v>3992.9545925925922</v>
      </c>
      <c r="F49" s="54">
        <f>H49/D49</f>
        <v>6513.9092962962968</v>
      </c>
      <c r="G49" s="48">
        <f>(206455.28+44268.8+77168.49+33921.33+177234.97)*1.2</f>
        <v>646858.64399999997</v>
      </c>
      <c r="H49" s="48">
        <f>1535678.35-G49+166433.6</f>
        <v>1055253.3060000001</v>
      </c>
      <c r="I49" s="48">
        <f t="shared" si="0"/>
        <v>1702111.9500000002</v>
      </c>
      <c r="J49" s="32"/>
    </row>
    <row r="50" spans="1:10" s="33" customFormat="1" outlineLevel="1" x14ac:dyDescent="0.25">
      <c r="A50" s="31"/>
      <c r="B50" s="53" t="s">
        <v>39</v>
      </c>
      <c r="C50" s="58" t="s">
        <v>22</v>
      </c>
      <c r="D50" s="77">
        <v>162</v>
      </c>
      <c r="E50" s="48"/>
      <c r="F50" s="48"/>
      <c r="G50" s="48"/>
      <c r="H50" s="48"/>
      <c r="I50" s="44">
        <f>G50+H50</f>
        <v>0</v>
      </c>
      <c r="J50" s="32"/>
    </row>
    <row r="51" spans="1:10" s="33" customFormat="1" ht="25.5" outlineLevel="1" x14ac:dyDescent="0.25">
      <c r="A51" s="27"/>
      <c r="B51" s="39" t="s">
        <v>40</v>
      </c>
      <c r="C51" s="58" t="s">
        <v>0</v>
      </c>
      <c r="D51" s="77">
        <v>33.5</v>
      </c>
      <c r="E51" s="48"/>
      <c r="F51" s="48"/>
      <c r="G51" s="46"/>
      <c r="H51" s="46"/>
      <c r="I51" s="44">
        <f t="shared" si="0"/>
        <v>0</v>
      </c>
      <c r="J51" s="32"/>
    </row>
    <row r="52" spans="1:10" s="38" customFormat="1" ht="13.5" outlineLevel="1" x14ac:dyDescent="0.25">
      <c r="A52" s="88"/>
      <c r="B52" s="89" t="s">
        <v>41</v>
      </c>
      <c r="C52" s="70" t="s">
        <v>0</v>
      </c>
      <c r="D52" s="79">
        <v>34.002499999999998</v>
      </c>
      <c r="E52" s="57"/>
      <c r="F52" s="57"/>
      <c r="G52" s="45"/>
      <c r="H52" s="45"/>
      <c r="I52" s="52">
        <f t="shared" ref="I52:I56" si="8">G52+H52</f>
        <v>0</v>
      </c>
      <c r="J52" s="37"/>
    </row>
    <row r="53" spans="1:10" s="38" customFormat="1" ht="13.5" outlineLevel="1" x14ac:dyDescent="0.25">
      <c r="A53" s="88"/>
      <c r="B53" s="89" t="s">
        <v>42</v>
      </c>
      <c r="C53" s="70" t="s">
        <v>16</v>
      </c>
      <c r="D53" s="79">
        <v>0.91815999999999998</v>
      </c>
      <c r="E53" s="57"/>
      <c r="F53" s="57"/>
      <c r="G53" s="45"/>
      <c r="H53" s="45"/>
      <c r="I53" s="52">
        <f t="shared" si="8"/>
        <v>0</v>
      </c>
      <c r="J53" s="37"/>
    </row>
    <row r="54" spans="1:10" s="38" customFormat="1" ht="13.5" outlineLevel="1" x14ac:dyDescent="0.25">
      <c r="A54" s="88"/>
      <c r="B54" s="90" t="s">
        <v>43</v>
      </c>
      <c r="C54" s="70" t="s">
        <v>16</v>
      </c>
      <c r="D54" s="79">
        <v>1.8359000000000001</v>
      </c>
      <c r="E54" s="91"/>
      <c r="F54" s="57"/>
      <c r="G54" s="45"/>
      <c r="H54" s="45"/>
      <c r="I54" s="52">
        <f t="shared" ref="I54" si="9">G54+H54</f>
        <v>0</v>
      </c>
      <c r="J54" s="37"/>
    </row>
    <row r="55" spans="1:10" s="38" customFormat="1" ht="13.5" customHeight="1" outlineLevel="1" x14ac:dyDescent="0.25">
      <c r="A55" s="88"/>
      <c r="B55" s="90" t="s">
        <v>44</v>
      </c>
      <c r="C55" s="70" t="s">
        <v>10</v>
      </c>
      <c r="D55" s="79">
        <v>45.225000000000001</v>
      </c>
      <c r="E55" s="91"/>
      <c r="F55" s="57"/>
      <c r="G55" s="45"/>
      <c r="H55" s="45"/>
      <c r="I55" s="52">
        <f t="shared" si="8"/>
        <v>0</v>
      </c>
      <c r="J55" s="37"/>
    </row>
    <row r="56" spans="1:10" s="38" customFormat="1" outlineLevel="1" x14ac:dyDescent="0.25">
      <c r="A56" s="27"/>
      <c r="B56" s="34" t="s">
        <v>45</v>
      </c>
      <c r="C56" s="70" t="s">
        <v>10</v>
      </c>
      <c r="D56" s="79">
        <v>447.12</v>
      </c>
      <c r="E56" s="49"/>
      <c r="F56" s="48"/>
      <c r="G56" s="46"/>
      <c r="H56" s="46"/>
      <c r="I56" s="44">
        <f t="shared" si="8"/>
        <v>0</v>
      </c>
      <c r="J56" s="37"/>
    </row>
    <row r="57" spans="1:10" s="38" customFormat="1" ht="13.5" outlineLevel="1" x14ac:dyDescent="0.25">
      <c r="A57" s="83"/>
      <c r="B57" s="92" t="s">
        <v>46</v>
      </c>
      <c r="C57" s="70" t="s">
        <v>18</v>
      </c>
      <c r="D57" s="79">
        <v>1073.088</v>
      </c>
      <c r="E57" s="56"/>
      <c r="F57" s="57"/>
      <c r="G57" s="45"/>
      <c r="H57" s="45"/>
      <c r="I57" s="52">
        <f t="shared" ref="I57:I58" si="10">G57+H57</f>
        <v>0</v>
      </c>
      <c r="J57" s="37"/>
    </row>
    <row r="58" spans="1:10" s="33" customFormat="1" outlineLevel="1" x14ac:dyDescent="0.25">
      <c r="A58" s="31"/>
      <c r="B58" s="97" t="s">
        <v>74</v>
      </c>
      <c r="C58" s="58" t="s">
        <v>22</v>
      </c>
      <c r="D58" s="77">
        <v>3</v>
      </c>
      <c r="E58" s="48"/>
      <c r="F58" s="48"/>
      <c r="G58" s="48"/>
      <c r="H58" s="48"/>
      <c r="I58" s="44">
        <f t="shared" si="10"/>
        <v>0</v>
      </c>
      <c r="J58" s="32"/>
    </row>
  </sheetData>
  <autoFilter ref="A8:K57" xr:uid="{00000000-0009-0000-0000-000000000000}"/>
  <mergeCells count="5">
    <mergeCell ref="A2:D2"/>
    <mergeCell ref="A1:D1"/>
    <mergeCell ref="A3:J3"/>
    <mergeCell ref="A4:D4"/>
    <mergeCell ref="A5:D5"/>
  </mergeCells>
  <phoneticPr fontId="2" type="noConversion"/>
  <pageMargins left="0.39370078740157483" right="0.19685039370078741" top="0.39370078740157483" bottom="0.19685039370078741" header="0.51181102362204722" footer="0.15748031496062992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ВОР 07.07.25</vt:lpstr>
      <vt:lpstr>'ВОР 07.07.25'!Область_печати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Розанов Дмитрий Юрьевич</dc:creator>
  <cp:lastModifiedBy>Сергиенко Татьяна Сергеевна</cp:lastModifiedBy>
  <cp:lastPrinted>2025-08-07T08:13:17Z</cp:lastPrinted>
  <dcterms:created xsi:type="dcterms:W3CDTF">2015-06-05T18:19:34Z</dcterms:created>
  <dcterms:modified xsi:type="dcterms:W3CDTF">2025-08-08T10:14:43Z</dcterms:modified>
</cp:coreProperties>
</file>