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O:\Департамент строительства уникальных объектов\019_Смоленск\04_ТЕНДЕРЫ\2. Тендер -вынос инж сетей водопр, канал, водост\"/>
    </mc:Choice>
  </mc:AlternateContent>
  <xr:revisionPtr revIDLastSave="0" documentId="13_ncr:1_{F226BB94-7466-4CF0-B4A3-AB39AA27428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ВОР 07.07.25" sheetId="1" r:id="rId1"/>
  </sheets>
  <definedNames>
    <definedName name="_xlnm.Print_Area" localSheetId="0">'ВОР 07.07.25'!$A$1:$K$301</definedName>
  </definedNames>
  <calcPr calcId="191029" iterateDelta="9.9999999974897903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I11" i="1"/>
  <c r="G11" i="1"/>
  <c r="F35" i="1"/>
  <c r="G35" i="1"/>
  <c r="F42" i="1"/>
  <c r="G42" i="1"/>
  <c r="H104" i="1"/>
  <c r="I104" i="1"/>
  <c r="J104" i="1" s="1"/>
  <c r="I24" i="1"/>
  <c r="I35" i="1"/>
  <c r="I42" i="1"/>
  <c r="I62" i="1"/>
  <c r="I144" i="1"/>
  <c r="J144" i="1" s="1"/>
  <c r="H144" i="1"/>
  <c r="I130" i="1"/>
  <c r="G130" i="1" s="1"/>
  <c r="H130" i="1"/>
  <c r="I120" i="1"/>
  <c r="I172" i="1"/>
  <c r="I116" i="1"/>
  <c r="I218" i="1"/>
  <c r="H218" i="1"/>
  <c r="I291" i="1"/>
  <c r="H291" i="1"/>
  <c r="H190" i="1"/>
  <c r="F190" i="1"/>
  <c r="I181" i="1"/>
  <c r="I177" i="1"/>
  <c r="H191" i="1"/>
  <c r="F130" i="1"/>
  <c r="H62" i="1"/>
  <c r="H42" i="1"/>
  <c r="H35" i="1"/>
  <c r="J35" i="1" s="1"/>
  <c r="J218" i="1" l="1"/>
  <c r="J130" i="1"/>
  <c r="J291" i="1"/>
  <c r="J10" i="1"/>
  <c r="J115" i="1"/>
  <c r="I190" i="1"/>
  <c r="I191" i="1"/>
  <c r="J191" i="1" l="1"/>
  <c r="G190" i="1"/>
  <c r="J190" i="1"/>
  <c r="J176" i="1" s="1"/>
  <c r="J9" i="1" s="1"/>
  <c r="D102" i="1"/>
  <c r="D103" i="1"/>
  <c r="D172" i="1"/>
  <c r="G172" i="1" s="1"/>
  <c r="D32" i="1"/>
  <c r="D66" i="1"/>
  <c r="D19" i="1"/>
  <c r="D14" i="1"/>
  <c r="D15" i="1" s="1"/>
  <c r="D175" i="1"/>
  <c r="D174" i="1"/>
  <c r="D118" i="1"/>
  <c r="D119" i="1" s="1"/>
  <c r="D291" i="1"/>
  <c r="D218" i="1"/>
  <c r="D177" i="1"/>
  <c r="G177" i="1" s="1"/>
  <c r="D116" i="1"/>
  <c r="G116" i="1" s="1"/>
  <c r="D104" i="1"/>
  <c r="D62" i="1"/>
  <c r="D24" i="1"/>
  <c r="G24" i="1" s="1"/>
  <c r="D186" i="1"/>
  <c r="D188" i="1" s="1"/>
  <c r="D123" i="1"/>
  <c r="D122" i="1"/>
  <c r="F291" i="1" l="1"/>
  <c r="G291" i="1"/>
  <c r="F218" i="1"/>
  <c r="G218" i="1"/>
  <c r="F104" i="1"/>
  <c r="G104" i="1"/>
  <c r="G62" i="1"/>
  <c r="F62" i="1"/>
  <c r="D124" i="1"/>
  <c r="D126" i="1"/>
  <c r="D129" i="1" s="1"/>
  <c r="D120" i="1"/>
  <c r="G120" i="1" s="1"/>
  <c r="D290" i="1"/>
  <c r="D182" i="1"/>
  <c r="E182" i="1"/>
  <c r="D181" i="1" l="1"/>
  <c r="G181" i="1" s="1"/>
  <c r="D184" i="1"/>
  <c r="D128" i="1"/>
  <c r="E12" i="1"/>
  <c r="D160" i="1"/>
  <c r="D144" i="1" s="1"/>
  <c r="D61" i="1"/>
  <c r="D41" i="1"/>
  <c r="D39" i="1"/>
  <c r="F144" i="1" l="1"/>
  <c r="G144" i="1"/>
  <c r="D171" i="1"/>
  <c r="D189" i="1"/>
  <c r="D212" i="1"/>
  <c r="D217" i="1"/>
  <c r="D216" i="1"/>
  <c r="D215" i="1"/>
  <c r="D166" i="1"/>
  <c r="D164" i="1"/>
  <c r="D142" i="1"/>
  <c r="D143" i="1" s="1"/>
  <c r="D136" i="1"/>
  <c r="D135" i="1"/>
  <c r="D134" i="1"/>
  <c r="D133" i="1"/>
  <c r="D132" i="1"/>
  <c r="D57" i="1" l="1"/>
  <c r="D56" i="1"/>
  <c r="D54" i="1"/>
  <c r="D53" i="1"/>
  <c r="D52" i="1"/>
  <c r="D51" i="1"/>
  <c r="D50" i="1"/>
  <c r="D46" i="1"/>
  <c r="D45" i="1"/>
  <c r="D44" i="1"/>
  <c r="D43" i="1"/>
  <c r="D125" i="1" l="1"/>
  <c r="D29" i="1"/>
  <c r="D180" i="1" l="1"/>
  <c r="D213" i="1"/>
  <c r="D198" i="1"/>
  <c r="D197" i="1"/>
  <c r="D196" i="1"/>
  <c r="D194" i="1"/>
  <c r="D195" i="1"/>
  <c r="D193" i="1"/>
  <c r="D191" i="1" s="1"/>
  <c r="F191" i="1" l="1"/>
  <c r="G191" i="1"/>
  <c r="D185" i="1"/>
  <c r="D179" i="1"/>
</calcChain>
</file>

<file path=xl/sharedStrings.xml><?xml version="1.0" encoding="utf-8"?>
<sst xmlns="http://schemas.openxmlformats.org/spreadsheetml/2006/main" count="661" uniqueCount="285">
  <si>
    <t>м3</t>
  </si>
  <si>
    <t>№ п/п</t>
  </si>
  <si>
    <t>Наименование</t>
  </si>
  <si>
    <t>Ед. изм.</t>
  </si>
  <si>
    <t>Кол-во</t>
  </si>
  <si>
    <t>Примечание</t>
  </si>
  <si>
    <t>Стоимость материала всего,
руб. с НДС</t>
  </si>
  <si>
    <t>Стоимость работ всего,
руб. с НДС</t>
  </si>
  <si>
    <t>Стоимость Итого,
руб. с НДС</t>
  </si>
  <si>
    <t>Основание:</t>
  </si>
  <si>
    <t>м2</t>
  </si>
  <si>
    <r>
      <t xml:space="preserve">Цена материала
за ед.,
</t>
    </r>
    <r>
      <rPr>
        <b/>
        <i/>
        <sz val="9"/>
        <color theme="1"/>
        <rFont val="Times New Roman"/>
        <family val="1"/>
        <charset val="204"/>
      </rPr>
      <t>руб. с НДС</t>
    </r>
  </si>
  <si>
    <r>
      <t xml:space="preserve">Цена работ
за ед.,
</t>
    </r>
    <r>
      <rPr>
        <b/>
        <i/>
        <sz val="9"/>
        <color theme="1"/>
        <rFont val="Times New Roman"/>
        <family val="1"/>
        <charset val="204"/>
      </rPr>
      <t>руб. с НДС</t>
    </r>
  </si>
  <si>
    <t>1.</t>
  </si>
  <si>
    <t>1.1.</t>
  </si>
  <si>
    <t>1.2.</t>
  </si>
  <si>
    <t>1.3.</t>
  </si>
  <si>
    <t>2.</t>
  </si>
  <si>
    <t>3.</t>
  </si>
  <si>
    <t>3.1.</t>
  </si>
  <si>
    <t>3.2.</t>
  </si>
  <si>
    <t>Вынос инженерных сетей из пятна застройки</t>
  </si>
  <si>
    <t>тн</t>
  </si>
  <si>
    <t xml:space="preserve">Перевозка мусора на расстояние 7 км с утилизацией </t>
  </si>
  <si>
    <t>3.3.</t>
  </si>
  <si>
    <t>м</t>
  </si>
  <si>
    <t>Демонтаж асфальтобетонного покрытия мех способом V-167 м2, толщиной 0,06 м</t>
  </si>
  <si>
    <t>I.</t>
  </si>
  <si>
    <t>шт</t>
  </si>
  <si>
    <t>кг</t>
  </si>
  <si>
    <t>пм</t>
  </si>
  <si>
    <t>Гидравлическое испытание трубопровода</t>
  </si>
  <si>
    <t>комплекс</t>
  </si>
  <si>
    <t>2.1.</t>
  </si>
  <si>
    <t>2.2.</t>
  </si>
  <si>
    <t>Гидроизоляция колодцев обмазочная в 2 слоя</t>
  </si>
  <si>
    <t>Стремянка тип С2( дл-2 м)</t>
  </si>
  <si>
    <t>Битум  (расход 0,3 кг/м2)</t>
  </si>
  <si>
    <t>Демонтажные работы</t>
  </si>
  <si>
    <t>Муфта защитная для прохода через ж/б колодец ПЭ 100 SDR11 Ду160 мм</t>
  </si>
  <si>
    <t>Муфта защитная для прохода через ж/б колодец ПЭ 100 SDR11 Дн560 мм</t>
  </si>
  <si>
    <t>Круглый дождеприемник ДК-1 (В125)</t>
  </si>
  <si>
    <t>Люк тип "Т" (С250) "Стилот" тяжелый</t>
  </si>
  <si>
    <t>Закрытый способ ННБ от кол. ДК1-кол. 1, труба ПЭ100 SDR11 315*28,6 -длина трубы 20,0 м</t>
  </si>
  <si>
    <t>Закрытый способ ННБ от кол. ДК2-кол. 1, труба ПЭ100 SDR11 315*28,6 -длина трубы 8,0 м</t>
  </si>
  <si>
    <t>Закрытый способ ННБ от кол. 1-кол. 2, труба ПЭ100 SDR11 315*28,6 -длина трубы 39,0 м в футляре ПЭ100  SDR11 560*50,8, длина футляра 37,0 м</t>
  </si>
  <si>
    <t xml:space="preserve">Закрытый способ ННБ от кол. 3-кол. 5, труба ПЭ100 SDR11 315*28,6 -длина трубы 56,0 м </t>
  </si>
  <si>
    <t xml:space="preserve">Труба ПЭ100 SDR11 315*28,6 </t>
  </si>
  <si>
    <t>Труба ПЭ100 SDR11 560*50,8</t>
  </si>
  <si>
    <t>Установка и демонтаж установки ННБ, тяговое усилие до 400 кН</t>
  </si>
  <si>
    <t>Муфта электросварная ПЭ100 SDR11 Дн315</t>
  </si>
  <si>
    <t xml:space="preserve">Прокладка труб водостока закрытым способом ННБ (наклонно-направленное бурение) </t>
  </si>
  <si>
    <t>Уплотнение грунта пневматич трамбовками</t>
  </si>
  <si>
    <t>Разработка грунта под ННБ мех способом</t>
  </si>
  <si>
    <t xml:space="preserve">Засыпка грунта под ННБ мех способом </t>
  </si>
  <si>
    <t>Уплотнение грунта пневмат трамбовками</t>
  </si>
  <si>
    <t>Погрузка асфальтобетона и мусора в автосамосвалы  (вес 1м3-1,9 тн)</t>
  </si>
  <si>
    <t>Стремянка тип С3( дл-3,0 м)</t>
  </si>
  <si>
    <t>Стремянка тип С1( дл-1,5 м)</t>
  </si>
  <si>
    <t>Разработка грунта группа 2 под устройство колодцев  вручную</t>
  </si>
  <si>
    <t xml:space="preserve">Труба стальная б/у Д219 мм </t>
  </si>
  <si>
    <t xml:space="preserve">Уголок 50*5 мм </t>
  </si>
  <si>
    <t>Доска обрезная, сорт 2 толщ 0,04 м</t>
  </si>
  <si>
    <t>Крепление стен котлованов колодцев 8-10</t>
  </si>
  <si>
    <t>4.</t>
  </si>
  <si>
    <t>2.3.</t>
  </si>
  <si>
    <t>2.4.</t>
  </si>
  <si>
    <t>2.5.</t>
  </si>
  <si>
    <t>2.6.</t>
  </si>
  <si>
    <t>Лоток  из ж/бетона (16шт) 0,55*16</t>
  </si>
  <si>
    <t>Устройство колодцев ж/б ливневых колодцев (смотровых) диаметром 1500 мм (12шт). Устройство дождеприемных колодцев h- 1530 мм (ДК1-ДК4), диаметром 1500 мм (4шт)</t>
  </si>
  <si>
    <t>Днище ПН 15  (16 шт)</t>
  </si>
  <si>
    <t>Рабочая часть КС 15.9 (44шт)</t>
  </si>
  <si>
    <t>Рабочая часть КС 15.6 (1шт)</t>
  </si>
  <si>
    <t>Плита перекрытия 1ПП15-1 (16 шт)</t>
  </si>
  <si>
    <t>Горловина КС 7-3 (12шт)</t>
  </si>
  <si>
    <t>Горловина КО6 (20 шт)</t>
  </si>
  <si>
    <t xml:space="preserve">Люк тип "Л" </t>
  </si>
  <si>
    <t>Стремянка тип С4( дл-3,5 м)</t>
  </si>
  <si>
    <t>Стремянка тип С7</t>
  </si>
  <si>
    <t>Стремянка тип С10</t>
  </si>
  <si>
    <t>Стремянка тип С12</t>
  </si>
  <si>
    <t>4.4</t>
  </si>
  <si>
    <t>4.1</t>
  </si>
  <si>
    <t>4.2</t>
  </si>
  <si>
    <t>4.3</t>
  </si>
  <si>
    <t>4.5</t>
  </si>
  <si>
    <t>4.6</t>
  </si>
  <si>
    <t>4.7</t>
  </si>
  <si>
    <t>4.8</t>
  </si>
  <si>
    <t>4.9</t>
  </si>
  <si>
    <t>4.10</t>
  </si>
  <si>
    <t xml:space="preserve">Закрытый способ ННБ от кол. 2-кол. 3, труба ПЭ100 SDR11 315*28,6 -длина трубы 5,0 м </t>
  </si>
  <si>
    <t>4.11</t>
  </si>
  <si>
    <t>Труба ПЭ100 SDR11 315*28,6 мм</t>
  </si>
  <si>
    <t>Труба ПЭ100 SDR11 560*50,8 мм</t>
  </si>
  <si>
    <t>Закрытый способ ННБ от кол. 13-кол. 6 сущ, труба ПЭ100 SDR11 560*50,8 -длина трубы 11,73</t>
  </si>
  <si>
    <t xml:space="preserve">Закрытый способ ННБ от кол. 12-кол. 13, труба ПЭ100 SDR11 560*50,8 -длина трубы  18,03 м </t>
  </si>
  <si>
    <t>Закрытый способ ННБ от кол. 11-кол. 12, труба ПЭ100 SDR11 560*50,8-длина трубы 54,28</t>
  </si>
  <si>
    <t>Закрытый способ ННБ от кол. 10-кол. 11, труба ПЭ100 SDR11 560*50,8 -длина трубы 29,3</t>
  </si>
  <si>
    <t>Закрытый способ ННБ от кол. 8-кол. 9, труба ПЭ100 SDR11 560*50,8 -длина трубы 37,5 м</t>
  </si>
  <si>
    <t>Разработка грунта группа 2 под устройство колодцев водостока мех. способом  и для прокладки трубы открытым способом</t>
  </si>
  <si>
    <t>2.7.</t>
  </si>
  <si>
    <t>4.12</t>
  </si>
  <si>
    <t>III.</t>
  </si>
  <si>
    <t>Муфта защитная для прохода через ж/б колодец ПЭ 100 SDR11 Ду350 мм</t>
  </si>
  <si>
    <t>II.</t>
  </si>
  <si>
    <t>Демонтажные работы (под ННБ и устройство колодцев)</t>
  </si>
  <si>
    <t>Разборка трубопроводов водоснабжения из чугунных труб диаметром: 150 мм</t>
  </si>
  <si>
    <t>Погрузка металлического лома</t>
  </si>
  <si>
    <t>Перевозка металлического лома на расстояние 7км (вес 1пм чуг трубы-34,7 кг/мп)</t>
  </si>
  <si>
    <t>Земляные работы ( устройство котлованов под колодцы)</t>
  </si>
  <si>
    <t>Приварка уголка к трубам</t>
  </si>
  <si>
    <t>Уголок 50*5 мм</t>
  </si>
  <si>
    <t>Забивка доски</t>
  </si>
  <si>
    <t>Доска обрезная толщ 40 мм, сорт 2</t>
  </si>
  <si>
    <t>Устройство колодцев Д1500 мм</t>
  </si>
  <si>
    <t>Днище ПН 15  (3 шт)</t>
  </si>
  <si>
    <t>Рабочая часть КС 15.9 (6 шт)</t>
  </si>
  <si>
    <t>Плита перекрытия 1ПП15-1 (3 шт)</t>
  </si>
  <si>
    <t>Горловина КО6 (3 шт)</t>
  </si>
  <si>
    <t>Люк тип "Т" (С250) "Стилот"</t>
  </si>
  <si>
    <t>Стремянка С2( дл-2 м)</t>
  </si>
  <si>
    <t>Трубопроводная арматура в колодцах:</t>
  </si>
  <si>
    <t>Муфта  соединительная электросварная ПЭ100 SDR17 Д160 мм</t>
  </si>
  <si>
    <t>Втулка под фланец ПЭ100 SDR17 Д160 мм</t>
  </si>
  <si>
    <t>Муфта защитная для прохода через ж/б колодец труб ПЭ  Д160 мм</t>
  </si>
  <si>
    <t>Задвижка чугуная короткая с обрезиненным клином Ду150 мм</t>
  </si>
  <si>
    <t>Подставка пожарная тройник  фланцевый чугунный ППТФ Д150 мм</t>
  </si>
  <si>
    <t>Заглушка Д150 мм</t>
  </si>
  <si>
    <t>Пожарный гидрант Д125 мм, высотой-1250 мм чугунный</t>
  </si>
  <si>
    <t>Фланец накидной Д160 мм</t>
  </si>
  <si>
    <t>Тройник ПЭ100 SDR17 160х160 мм</t>
  </si>
  <si>
    <t>Муфта соединение ПЭ/чуг. ПФРК Ду150 мм</t>
  </si>
  <si>
    <t>Уплотнение грунта пневмат. трамбовками</t>
  </si>
  <si>
    <t xml:space="preserve">Засыпка грунта мех способом </t>
  </si>
  <si>
    <t xml:space="preserve">Разработка грунта мех способом </t>
  </si>
  <si>
    <t>Уплотнение грунта вневмотрамбовками</t>
  </si>
  <si>
    <t>Монтаж-демонтаж установки ННБ, тяговое усилие до 400 кН</t>
  </si>
  <si>
    <t>Труба ПЭ 100 SDR 17- Д160*9,5 мм (L-48 пм)</t>
  </si>
  <si>
    <t>Труба ПЭ 100 SDR 17- Д160*9,5 мм (L-36 пм)</t>
  </si>
  <si>
    <t>Закрытый способ ННБ от угла поворота УП5 до угла поворота УП6
Труба ПЭ100 SDR17 160х9,5 длина трубы 32,0 м «питьевая». Длина прокола 30,0 м.</t>
  </si>
  <si>
    <t>Труба ПЭ 100 SDR 17- Д160*9,5 мм (L-32 пм)</t>
  </si>
  <si>
    <t>Гидравлическое испытание системы</t>
  </si>
  <si>
    <t>Открытая прокладка труб от кол. 7 до кол. 8 Д560*50,8 мм, кол. 9-кол. 10 Д560*50,8 мм, от кол 8 до ДК4 Д315*28,6 мм</t>
  </si>
  <si>
    <t>Труба ПЭ100 SDR11 Д160*9,5 мм</t>
  </si>
  <si>
    <t>Прокладка труб методом ННБ от УП2-УП3</t>
  </si>
  <si>
    <t>Прокладка трубы</t>
  </si>
  <si>
    <t>Прокладка труб методом ННБ от УП3-В2</t>
  </si>
  <si>
    <t>Закрытый способ ННБ от угла поворота УП2 до угла поворота УП3
Труба ПЭ100 SDR17 160х9,5 длина трубы 48,0 м «питьевая». Длина прокола 46,0 м.</t>
  </si>
  <si>
    <t>Закрытый способ ННБ от угла поворота УП3 до угла поворота В1
Труба ПЭ100 SDR17 160х9,5 длина трубы 36,0 м «питьевая», Длина прокола 34,0 м.</t>
  </si>
  <si>
    <t>Прокладка труб методом ННБ от УП5-УП6</t>
  </si>
  <si>
    <t>Прокладка труб открытым способом от В1/ПГ1-УП2 (1м), В2-УП4 (4.0 м)</t>
  </si>
  <si>
    <t>6.</t>
  </si>
  <si>
    <t>Прокладка труб методом ННБ от УП6 - В3/ПГ2</t>
  </si>
  <si>
    <t>Труба ПЭ SDR11 Д250*22,7 мм</t>
  </si>
  <si>
    <t>Фасонные части ПЭ</t>
  </si>
  <si>
    <t>Муфта электросварная ПЭ 100 SDR11 Дн250 мм (сварка труб по 12,0 м)</t>
  </si>
  <si>
    <t>Муфта электросварная ПЭ 100  SDR11 Дн560 мм (сварка труб по 12,0 м)</t>
  </si>
  <si>
    <t>Труба ПЭ SDR11 Д560*50,8 мм (футляр)</t>
  </si>
  <si>
    <t>Устройство колодцев ж/б канализационных диаметром 1500 мм</t>
  </si>
  <si>
    <t>Днище ПН 15  (9 шт)</t>
  </si>
  <si>
    <t>Рабочая часть КС 15.9 (23 шт)</t>
  </si>
  <si>
    <t>Плита перекрытия 1ПП15-1 (9 шт)</t>
  </si>
  <si>
    <t>Горловина КС 7-3 (7 шт)</t>
  </si>
  <si>
    <t>Горловина КО6 (9 шт)</t>
  </si>
  <si>
    <t>Стремянка тип С2( дл-2,0 м)</t>
  </si>
  <si>
    <t>Прокладка труб канализации закрытым способом ННБ (наклонно-направленное бурение)</t>
  </si>
  <si>
    <t>Разработка грунта мех способом в отвал</t>
  </si>
  <si>
    <t xml:space="preserve">Засыпка  траншеи мех способом </t>
  </si>
  <si>
    <t xml:space="preserve">Уплотнение грунта мех способом пневмотрамбовками </t>
  </si>
  <si>
    <t>Монтаж  и демонтаж установки ГНБ (тяговое усилие 400 кН)</t>
  </si>
  <si>
    <t xml:space="preserve">Закрытый способ ННБ от кол. К2-К4, труба ПЭ100 SDR11 250*22,7 -длина трубы 60, м, в футляре ПЭ100 SDR11 560*50,8 -длина футляра 56,0 м </t>
  </si>
  <si>
    <t>Труба напорная полиэтиленовая SDR11, Дн-560*50,8 мм</t>
  </si>
  <si>
    <t>Труба напорная полиэтиленовая  ПЭ100 SDR11, Дн250 *22,7 мм</t>
  </si>
  <si>
    <t>Погрузка мусора в автосамосвалах</t>
  </si>
  <si>
    <t>Перевозка мусора на расстояние 7 км с утилизацией</t>
  </si>
  <si>
    <t>Устройство колодцев</t>
  </si>
  <si>
    <t>Укладка трубопроводов канализации ПЭ SDR11 Д250*22,7 мм</t>
  </si>
  <si>
    <t>3</t>
  </si>
  <si>
    <t>Устройство закрытого подземного перехода методом ГНБ от кол. К4-К7-60м</t>
  </si>
  <si>
    <t>Устройство закрытого подземного перехода методом ГНБ от кол. К2-К4-56м</t>
  </si>
  <si>
    <t xml:space="preserve">Прокладка трубопроводов открытым способом (от кол 1-кол. 2, от кол 7- кол. 8, от кол.9-кол. 5) </t>
  </si>
  <si>
    <t>Труба ПЭ SDR11 Д160*14,6 мм</t>
  </si>
  <si>
    <t>Укладка трубопроводов канализации ПЭ SDR11  Д160*14,6 мм</t>
  </si>
  <si>
    <t>Закрытый способ ННБ от кол. К4-К7, труба ПЭ100 SDR11 250*22,7 -длина трубы 63м, м</t>
  </si>
  <si>
    <t xml:space="preserve">Погрузка грунта в автомобили </t>
  </si>
  <si>
    <t>Уплотнение грунта пневмотрамбовками</t>
  </si>
  <si>
    <t>Погрузка грунта в автосамосвалы</t>
  </si>
  <si>
    <t>Закрытый способ ННБ от кол. 5-до кол 6"сущ", труба ПЭ100 SDR11 315*28,6 -длина тр. 18,0 м</t>
  </si>
  <si>
    <t>Крепление стен котлованов на период строительства 1 шт</t>
  </si>
  <si>
    <t>Труба Д219 мм (3,7м*8)</t>
  </si>
  <si>
    <t xml:space="preserve">Вдавливание труб на глубину 0,7 м </t>
  </si>
  <si>
    <t>на выполнение работ: вынос инженерных сетей из пятна застройки. Наружные сети водопровода, хоз-бытовой канализации и  ливневой канализации.</t>
  </si>
  <si>
    <t>расчеты</t>
  </si>
  <si>
    <t>крепление стен одного кол глуб -3,05 м</t>
  </si>
  <si>
    <t>по согласов с проектировщ.</t>
  </si>
  <si>
    <t>по согласов. С проектир.</t>
  </si>
  <si>
    <t>по плану</t>
  </si>
  <si>
    <t>Демонтаж водопроводных колодцев ж/б Д1500 мм, глубина 2м -3 шт</t>
  </si>
  <si>
    <t>Погрузка мусора из ж/б колодцев</t>
  </si>
  <si>
    <t>Перевозка мусора из ж/б колодцев на расст 34 км</t>
  </si>
  <si>
    <t>Демонтаж задвижек Ду150 мм  (58,0 кг/шт)</t>
  </si>
  <si>
    <t>Демонтаж тройника чугунного 150х 150 мм (61,6 кг)</t>
  </si>
  <si>
    <t>Vгр-Vкол (3шт-нов)-Vтр</t>
  </si>
  <si>
    <t>Обратная засыпка песком вокруг колодцев грунтом мех способом (группа 2)</t>
  </si>
  <si>
    <t>Обратная засыпка вокруг песком колодцев грунтом вручную</t>
  </si>
  <si>
    <t>Установка полиэтиленовых фасонных частей: отводов, колен, патрубков, переходов</t>
  </si>
  <si>
    <t>Муфта полиэтиленовая электросварная, ПЭ100, SDR11, диаметр 160 мм</t>
  </si>
  <si>
    <t>Промывка с дезинфекцией трубопроводов диаметром: 150 мм</t>
  </si>
  <si>
    <t>Устройство подстилающих слоев из песка</t>
  </si>
  <si>
    <t>16,86*1,34</t>
  </si>
  <si>
    <t>Песок природный для строительных работ II класс, средний</t>
  </si>
  <si>
    <t>Устройство подстилающих слоев из  ЩПГС</t>
  </si>
  <si>
    <t>Смесь щебеночно-песчаная готовая, щебень из гравия М 800, номер смеси С4, размер зерен 0-80 мм</t>
  </si>
  <si>
    <t>Устройство покрытия дорожек и тротуаров из горячих асфальтобетонных смесей асфальтоукладчиками первого типоразмера, толщина слоя 6 см</t>
  </si>
  <si>
    <t>Эмульсия битумно-дорожная</t>
  </si>
  <si>
    <t>т</t>
  </si>
  <si>
    <t>Смеси асфальтобетонные пористые крупнозернистые, марка I</t>
  </si>
  <si>
    <t>2,42*0,06*16,86</t>
  </si>
  <si>
    <t>Устройство покрытия дорожек и тротуаров из горячих асфальтобетонных смесей асфальтоукладчиками первого типоразмера, толщина слоя 4 см</t>
  </si>
  <si>
    <t>Смеси асфальтобетонные плотные мелкозернистые, тип Б, марка II</t>
  </si>
  <si>
    <t>2,42*0,04*16,86</t>
  </si>
  <si>
    <t>Восстановление покрытия из асфальтобетона</t>
  </si>
  <si>
    <t>Погрузка асфальтобетона и мусора в автосамосвалы  (вес 1м3-1,9 тн) без восстановления</t>
  </si>
  <si>
    <t>167*1,34</t>
  </si>
  <si>
    <t>167*0,25</t>
  </si>
  <si>
    <t>2,42*0,06*167</t>
  </si>
  <si>
    <t>2,42*0,04*167</t>
  </si>
  <si>
    <t>5.</t>
  </si>
  <si>
    <t>Разборка асфальтового покрытия дорог толщиной 0,06 м без восстановления (6,25 м2х3 шт)</t>
  </si>
  <si>
    <t>6,25*0,06</t>
  </si>
  <si>
    <t>16,86*0,06*1,9+18,75*0,06*1,9</t>
  </si>
  <si>
    <t>2,26*2,4</t>
  </si>
  <si>
    <t xml:space="preserve">Снятие и восстановление плодородного слоя грунта </t>
  </si>
  <si>
    <t>Планировка территории</t>
  </si>
  <si>
    <t>Демонтаж асфальтобетонного покрытия мех способом 69,4 м2, толщиной 0,06 м</t>
  </si>
  <si>
    <t>69,4*0,06*1,9</t>
  </si>
  <si>
    <t>25,7+46,09+ 18,5+44,69+20,69+34,01+30,28+32,58+44,13</t>
  </si>
  <si>
    <t>Засыпка траншеи мех способом</t>
  </si>
  <si>
    <t>5.1</t>
  </si>
  <si>
    <t>5.2</t>
  </si>
  <si>
    <t>5.3</t>
  </si>
  <si>
    <t>5.4</t>
  </si>
  <si>
    <t>Погрузка лишнего грунта в автосамосвалы (группа 2)</t>
  </si>
  <si>
    <t xml:space="preserve">Перевозка грунта на расстояние до 10 км </t>
  </si>
  <si>
    <t>Засыпка песком вокруг колодцев мех способом</t>
  </si>
  <si>
    <t xml:space="preserve">Разработка грунта под устройство трубу и под колодцы вручную </t>
  </si>
  <si>
    <t>Снятие и восстановление плодородного слоя грунта 125 м2*0,15м в отвал</t>
  </si>
  <si>
    <t>Засыпка песком вокруг колодцев вручную</t>
  </si>
  <si>
    <t>Засыпка колодцев песком мех способом</t>
  </si>
  <si>
    <t>Засыпка траншеи песком вручную</t>
  </si>
  <si>
    <t>Разработка грунта под колодцы вручную (группа грунта -2)</t>
  </si>
  <si>
    <t>4.1.</t>
  </si>
  <si>
    <t>4.2.</t>
  </si>
  <si>
    <t>Демонтаж асфальтобетонного покрытия мех способом, толщиной 0,06 м</t>
  </si>
  <si>
    <t>компл.</t>
  </si>
  <si>
    <t xml:space="preserve">Разработка грунта под колодцы мех. способом (группа грунта -2) </t>
  </si>
  <si>
    <t>шт.</t>
  </si>
  <si>
    <t>Прокладка труб открытым способом и ННБ</t>
  </si>
  <si>
    <t xml:space="preserve">Разработка грунта под устройство трубы и под колодцы мех. способом </t>
  </si>
  <si>
    <t>Земляные работы под наружную хозяйственно-бытовую канализацию К1</t>
  </si>
  <si>
    <t>Демонтаж асфальтобетона под наружную хозяйственно-бытовую канализацию К1</t>
  </si>
  <si>
    <t>п.м.</t>
  </si>
  <si>
    <t>4.3.</t>
  </si>
  <si>
    <t>Разработка грунта под котлованы колодцев</t>
  </si>
  <si>
    <t>Демонтаж наружной ливневой канализации К2</t>
  </si>
  <si>
    <t>Демонтаж наружной хоз-бытовой канализации К1</t>
  </si>
  <si>
    <t>Вынос наружного водопровода ВЧШГ Д150 мм В1</t>
  </si>
  <si>
    <t>Устройство колодцев К2</t>
  </si>
  <si>
    <t>Перевозка грунта на расстояние до 10 км</t>
  </si>
  <si>
    <t>Уплотнение песка пневмотрамбовками</t>
  </si>
  <si>
    <t>Демонтаж труб канализации</t>
  </si>
  <si>
    <t>Демонтаж чугунных труб Д150 мм</t>
  </si>
  <si>
    <t>Погрузка труб</t>
  </si>
  <si>
    <t>Перевозка демонтированных труб на расстояние  на 7 км</t>
  </si>
  <si>
    <t>Разработка грунта под траншею мех способом</t>
  </si>
  <si>
    <t>Разработка грунта под траншею вручную</t>
  </si>
  <si>
    <t>Засыпка грунта вручную</t>
  </si>
  <si>
    <t>Погрузка и вывоз грунта на 1 км в отвал</t>
  </si>
  <si>
    <t>Песок строительный</t>
  </si>
  <si>
    <t>Объект: «Семейный физкультурно-оздоровительный комплекс «Термолэнд-Дельфин»
по адресу: г. Смоленск, ул. Кутузова, д. 2Г</t>
  </si>
  <si>
    <t>Труба ПЭ 100 SDR 17- Д160*9,5 мм (L-11 пм)</t>
  </si>
  <si>
    <t>Закрытый способ ННБ от угла поворота УП6 до угла поворота В3/ПГ2
Труба ПЭ100 SDR17 160х9,5 длина трубы 13,0 м «питьевая». Длина прокола 11,0 м.</t>
  </si>
  <si>
    <t>Начальная максимальная цена контракта (НМЦК)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</si>
</sst>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0.000"/>
    <numFmt numFmtId="166" formatCode="0.0"/>
    <numFmt numFmtId="167" formatCode="#,##0.000"/>
    <numFmt numFmtId="168" formatCode="_-* #,##0.00\ _₽_-;\-* #,##0.00\ _₽_-;_-* &quot;-&quot;??\ _₽_-;_-@_-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3" fillId="0" borderId="0"/>
    <xf numFmtId="0" fontId="15" fillId="0" borderId="0"/>
    <xf numFmtId="0" fontId="18" fillId="5" borderId="2">
      <alignment horizontal="left" vertical="center" wrapText="1"/>
    </xf>
    <xf numFmtId="0" fontId="18" fillId="0" borderId="2">
      <alignment horizontal="center" vertical="center" wrapText="1"/>
    </xf>
    <xf numFmtId="43" fontId="15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0" fillId="2" borderId="1" xfId="1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9" fillId="0" borderId="0" xfId="0" applyNumberFormat="1" applyFont="1" applyFill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wrapText="1"/>
    </xf>
    <xf numFmtId="0" fontId="1" fillId="0" borderId="3" xfId="0" applyFont="1" applyBorder="1" applyAlignment="1">
      <alignment horizontal="center" vertical="center"/>
    </xf>
    <xf numFmtId="167" fontId="1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166" fontId="7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wrapText="1"/>
    </xf>
    <xf numFmtId="164" fontId="1" fillId="4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4" fillId="0" borderId="2" xfId="0" applyFont="1" applyBorder="1" applyAlignment="1">
      <alignment horizontal="left" wrapText="1"/>
    </xf>
    <xf numFmtId="167" fontId="1" fillId="0" borderId="1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167" fontId="1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6" fillId="5" borderId="2" xfId="3" applyFont="1">
      <alignment horizontal="left" vertical="center" wrapText="1"/>
    </xf>
    <xf numFmtId="4" fontId="1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4" fillId="0" borderId="2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166" fontId="7" fillId="4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/>
    </xf>
    <xf numFmtId="0" fontId="8" fillId="4" borderId="0" xfId="0" applyFont="1" applyFill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16" fontId="6" fillId="4" borderId="1" xfId="0" applyNumberFormat="1" applyFont="1" applyFill="1" applyBorder="1" applyAlignment="1">
      <alignment horizontal="center" vertical="center"/>
    </xf>
    <xf numFmtId="0" fontId="6" fillId="0" borderId="2" xfId="4" applyFo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6" fillId="5" borderId="6" xfId="3" applyFont="1" applyBorder="1">
      <alignment horizontal="left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center" vertical="center"/>
    </xf>
    <xf numFmtId="0" fontId="18" fillId="4" borderId="2" xfId="4" applyFill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 wrapText="1"/>
    </xf>
    <xf numFmtId="2" fontId="6" fillId="0" borderId="2" xfId="4" applyNumberFormat="1" applyFo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7" fillId="5" borderId="2" xfId="3" applyFont="1">
      <alignment horizontal="left" vertical="center" wrapText="1"/>
    </xf>
    <xf numFmtId="0" fontId="7" fillId="0" borderId="2" xfId="4" applyFont="1">
      <alignment horizontal="center" vertical="center" wrapText="1"/>
    </xf>
    <xf numFmtId="2" fontId="7" fillId="0" borderId="2" xfId="4" applyNumberFormat="1" applyFo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6" fontId="8" fillId="4" borderId="1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2" fontId="8" fillId="4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8" fillId="5" borderId="6" xfId="3" applyFont="1" applyBorder="1">
      <alignment horizontal="left" vertical="center" wrapText="1"/>
    </xf>
    <xf numFmtId="0" fontId="6" fillId="0" borderId="5" xfId="4" applyFont="1" applyBorder="1">
      <alignment horizontal="center" vertical="center" wrapText="1"/>
    </xf>
    <xf numFmtId="2" fontId="6" fillId="0" borderId="5" xfId="4" applyNumberFormat="1" applyFont="1" applyBorder="1">
      <alignment horizontal="center" vertical="center" wrapText="1"/>
    </xf>
    <xf numFmtId="0" fontId="6" fillId="5" borderId="5" xfId="3" applyFont="1" applyBorder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6" fontId="6" fillId="0" borderId="2" xfId="4" applyNumberFormat="1" applyFo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6" fontId="6" fillId="0" borderId="5" xfId="4" applyNumberFormat="1" applyFont="1" applyBorder="1">
      <alignment horizontal="center" vertical="center" wrapText="1"/>
    </xf>
    <xf numFmtId="166" fontId="7" fillId="0" borderId="2" xfId="4" applyNumberFormat="1" applyFont="1">
      <alignment horizontal="center" vertical="center" wrapText="1"/>
    </xf>
    <xf numFmtId="165" fontId="7" fillId="0" borderId="2" xfId="4" applyNumberFormat="1" applyFo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wrapText="1"/>
    </xf>
    <xf numFmtId="166" fontId="6" fillId="0" borderId="1" xfId="0" applyNumberFormat="1" applyFont="1" applyBorder="1" applyAlignment="1">
      <alignment horizontal="center" vertical="center"/>
    </xf>
    <xf numFmtId="43" fontId="8" fillId="4" borderId="1" xfId="5" applyFont="1" applyFill="1" applyBorder="1" applyAlignment="1">
      <alignment vertical="center"/>
    </xf>
    <xf numFmtId="43" fontId="12" fillId="0" borderId="1" xfId="5" applyFont="1" applyBorder="1" applyAlignment="1">
      <alignment vertical="center"/>
    </xf>
    <xf numFmtId="43" fontId="8" fillId="4" borderId="1" xfId="5" applyFont="1" applyFill="1" applyBorder="1" applyAlignment="1">
      <alignment horizontal="center" vertical="center"/>
    </xf>
    <xf numFmtId="43" fontId="8" fillId="0" borderId="1" xfId="5" applyFont="1" applyBorder="1" applyAlignment="1">
      <alignment vertical="center"/>
    </xf>
    <xf numFmtId="43" fontId="18" fillId="5" borderId="5" xfId="5" applyFont="1" applyFill="1" applyBorder="1" applyAlignment="1">
      <alignment horizontal="left" vertical="center" wrapText="1"/>
    </xf>
    <xf numFmtId="43" fontId="18" fillId="5" borderId="6" xfId="5" applyFont="1" applyFill="1" applyBorder="1" applyAlignment="1">
      <alignment horizontal="left" vertical="center" wrapText="1"/>
    </xf>
    <xf numFmtId="43" fontId="18" fillId="5" borderId="1" xfId="5" applyFont="1" applyFill="1" applyBorder="1" applyAlignment="1">
      <alignment horizontal="left" vertical="center" wrapText="1"/>
    </xf>
    <xf numFmtId="43" fontId="0" fillId="0" borderId="1" xfId="5" applyFont="1" applyBorder="1"/>
    <xf numFmtId="43" fontId="18" fillId="5" borderId="2" xfId="5" applyFont="1" applyFill="1" applyBorder="1" applyAlignment="1">
      <alignment horizontal="left" vertical="center" wrapText="1"/>
    </xf>
    <xf numFmtId="43" fontId="12" fillId="3" borderId="1" xfId="5" applyFont="1" applyFill="1" applyBorder="1" applyAlignment="1">
      <alignment vertical="center"/>
    </xf>
    <xf numFmtId="168" fontId="7" fillId="0" borderId="1" xfId="0" applyNumberFormat="1" applyFont="1" applyBorder="1" applyAlignment="1">
      <alignment vertical="center"/>
    </xf>
    <xf numFmtId="43" fontId="8" fillId="3" borderId="1" xfId="0" applyNumberFormat="1" applyFont="1" applyFill="1" applyBorder="1" applyAlignment="1">
      <alignment horizontal="center" vertical="center"/>
    </xf>
    <xf numFmtId="168" fontId="8" fillId="4" borderId="1" xfId="0" applyNumberFormat="1" applyFont="1" applyFill="1" applyBorder="1" applyAlignment="1">
      <alignment vertical="center"/>
    </xf>
    <xf numFmtId="43" fontId="8" fillId="0" borderId="3" xfId="5" applyFont="1" applyBorder="1" applyAlignment="1">
      <alignment vertical="center"/>
    </xf>
    <xf numFmtId="43" fontId="8" fillId="0" borderId="1" xfId="5" applyFont="1" applyBorder="1" applyAlignment="1">
      <alignment vertical="center" wrapText="1"/>
    </xf>
    <xf numFmtId="43" fontId="8" fillId="0" borderId="0" xfId="5" applyFont="1" applyBorder="1" applyAlignment="1">
      <alignment vertical="center"/>
    </xf>
    <xf numFmtId="43" fontId="8" fillId="4" borderId="1" xfId="5" applyFont="1" applyFill="1" applyBorder="1" applyAlignment="1">
      <alignment vertical="center" wrapText="1"/>
    </xf>
    <xf numFmtId="43" fontId="8" fillId="3" borderId="1" xfId="5" applyFont="1" applyFill="1" applyBorder="1" applyAlignment="1">
      <alignment vertical="center"/>
    </xf>
    <xf numFmtId="43" fontId="8" fillId="0" borderId="1" xfId="5" applyFont="1" applyFill="1" applyBorder="1" applyAlignment="1">
      <alignment vertical="center"/>
    </xf>
    <xf numFmtId="43" fontId="8" fillId="0" borderId="1" xfId="5" applyFont="1" applyFill="1" applyBorder="1" applyAlignment="1">
      <alignment vertical="center" wrapText="1"/>
    </xf>
    <xf numFmtId="168" fontId="12" fillId="3" borderId="1" xfId="0" applyNumberFormat="1" applyFont="1" applyFill="1" applyBorder="1" applyAlignment="1">
      <alignment vertical="center"/>
    </xf>
    <xf numFmtId="168" fontId="7" fillId="4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8" fontId="12" fillId="2" borderId="1" xfId="0" applyNumberFormat="1" applyFont="1" applyFill="1" applyBorder="1" applyAlignment="1">
      <alignment horizontal="right" vertical="center"/>
    </xf>
  </cellXfs>
  <cellStyles count="6">
    <cellStyle name="Normal" xfId="2" xr:uid="{FA60F43A-3D3F-4CDF-B04D-AAB87A931166}"/>
    <cellStyle name="vor_itm_table_style" xfId="4" xr:uid="{0C206894-9E12-4651-A2C0-86237FC1A636}"/>
    <cellStyle name="vor_itm_table_style_left" xfId="3" xr:uid="{75D79AED-F168-463F-BE1B-4F4FA2D04AB0}"/>
    <cellStyle name="Обычный" xfId="0" builtinId="0"/>
    <cellStyle name="Обычный 2 6" xfId="1" xr:uid="{AAD5B3BB-2837-4999-8AA3-A3597F9AB74A}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1"/>
  <sheetViews>
    <sheetView tabSelected="1" view="pageBreakPreview" zoomScale="115" zoomScaleNormal="115" zoomScaleSheetLayoutView="115" workbookViewId="0">
      <selection activeCell="I130" sqref="I130"/>
    </sheetView>
  </sheetViews>
  <sheetFormatPr defaultRowHeight="12.75" outlineLevelRow="1" x14ac:dyDescent="0.25"/>
  <cols>
    <col min="1" max="1" width="6.5703125" style="7" bestFit="1" customWidth="1"/>
    <col min="2" max="2" width="80.5703125" style="32" customWidth="1"/>
    <col min="3" max="3" width="8.5703125" style="12" bestFit="1" customWidth="1"/>
    <col min="4" max="4" width="7.28515625" style="27" bestFit="1" customWidth="1"/>
    <col min="5" max="5" width="43.5703125" style="27" hidden="1" customWidth="1"/>
    <col min="6" max="6" width="11.140625" style="13" bestFit="1" customWidth="1"/>
    <col min="7" max="7" width="11.5703125" style="13" bestFit="1" customWidth="1"/>
    <col min="8" max="9" width="12.5703125" style="13" bestFit="1" customWidth="1"/>
    <col min="10" max="10" width="15.5703125" style="13" customWidth="1"/>
    <col min="11" max="11" width="34.140625" style="6" bestFit="1" customWidth="1"/>
    <col min="12" max="12" width="13.140625" style="14" customWidth="1"/>
    <col min="13" max="16384" width="9.140625" style="6"/>
  </cols>
  <sheetData>
    <row r="1" spans="1:12" ht="15.75" x14ac:dyDescent="0.25">
      <c r="A1" s="201" t="s">
        <v>284</v>
      </c>
      <c r="B1" s="201"/>
      <c r="C1" s="201"/>
      <c r="D1" s="201"/>
      <c r="E1" s="120"/>
      <c r="F1" s="29"/>
      <c r="G1" s="29"/>
      <c r="H1" s="29"/>
      <c r="I1" s="29"/>
      <c r="J1" s="29"/>
      <c r="K1" s="29"/>
    </row>
    <row r="2" spans="1:12" ht="30.75" customHeight="1" x14ac:dyDescent="0.25">
      <c r="A2" s="201" t="s">
        <v>193</v>
      </c>
      <c r="B2" s="201"/>
      <c r="C2" s="201"/>
      <c r="D2" s="201"/>
      <c r="E2" s="120"/>
      <c r="F2" s="29"/>
      <c r="G2" s="29"/>
      <c r="H2" s="29"/>
      <c r="I2" s="29"/>
      <c r="J2" s="29"/>
      <c r="K2" s="29"/>
    </row>
    <row r="3" spans="1:12" s="1" customFormat="1" ht="14.25" x14ac:dyDescent="0.25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15"/>
    </row>
    <row r="4" spans="1:12" s="25" customFormat="1" ht="26.25" customHeight="1" x14ac:dyDescent="0.25">
      <c r="A4" s="203" t="s">
        <v>281</v>
      </c>
      <c r="B4" s="203"/>
      <c r="C4" s="203"/>
      <c r="D4" s="203"/>
      <c r="E4" s="121"/>
      <c r="F4" s="5"/>
      <c r="G4" s="5"/>
      <c r="H4" s="5"/>
      <c r="I4" s="5"/>
      <c r="J4" s="5"/>
      <c r="K4" s="5"/>
      <c r="L4" s="15"/>
    </row>
    <row r="5" spans="1:12" s="26" customFormat="1" x14ac:dyDescent="0.25">
      <c r="A5" s="203"/>
      <c r="B5" s="203"/>
      <c r="C5" s="203"/>
      <c r="D5" s="203"/>
      <c r="E5" s="121"/>
      <c r="F5" s="5"/>
      <c r="G5" s="5"/>
      <c r="H5" s="5"/>
      <c r="I5" s="5"/>
      <c r="J5" s="5"/>
      <c r="K5" s="5"/>
      <c r="L5" s="15"/>
    </row>
    <row r="6" spans="1:12" x14ac:dyDescent="0.25">
      <c r="B6" s="32" t="s">
        <v>9</v>
      </c>
      <c r="D6" s="17"/>
      <c r="E6" s="17"/>
      <c r="F6" s="6"/>
      <c r="G6" s="6"/>
      <c r="H6" s="6"/>
      <c r="I6" s="6"/>
      <c r="J6" s="6"/>
    </row>
    <row r="8" spans="1:12" s="11" customFormat="1" ht="54" x14ac:dyDescent="0.25">
      <c r="A8" s="8" t="s">
        <v>1</v>
      </c>
      <c r="B8" s="9" t="s">
        <v>2</v>
      </c>
      <c r="C8" s="9" t="s">
        <v>3</v>
      </c>
      <c r="D8" s="28" t="s">
        <v>4</v>
      </c>
      <c r="E8" s="28" t="s">
        <v>194</v>
      </c>
      <c r="F8" s="10" t="s">
        <v>11</v>
      </c>
      <c r="G8" s="10" t="s">
        <v>12</v>
      </c>
      <c r="H8" s="10" t="s">
        <v>6</v>
      </c>
      <c r="I8" s="10" t="s">
        <v>7</v>
      </c>
      <c r="J8" s="10" t="s">
        <v>8</v>
      </c>
      <c r="K8" s="9" t="s">
        <v>5</v>
      </c>
      <c r="L8" s="16"/>
    </row>
    <row r="9" spans="1:12" s="22" customFormat="1" ht="13.5" x14ac:dyDescent="0.25">
      <c r="A9" s="19"/>
      <c r="B9" s="20" t="s">
        <v>21</v>
      </c>
      <c r="C9" s="19"/>
      <c r="D9" s="19"/>
      <c r="E9" s="19"/>
      <c r="F9" s="21"/>
      <c r="G9" s="21"/>
      <c r="H9" s="21"/>
      <c r="I9" s="21"/>
      <c r="J9" s="204">
        <f>J10+J115+J176</f>
        <v>20470270.019999996</v>
      </c>
      <c r="K9" s="21"/>
    </row>
    <row r="10" spans="1:12" s="75" customFormat="1" x14ac:dyDescent="0.25">
      <c r="A10" s="30" t="s">
        <v>27</v>
      </c>
      <c r="B10" s="33" t="s">
        <v>268</v>
      </c>
      <c r="C10" s="30"/>
      <c r="D10" s="30"/>
      <c r="E10" s="30"/>
      <c r="F10" s="30"/>
      <c r="G10" s="30"/>
      <c r="H10" s="30"/>
      <c r="I10" s="30"/>
      <c r="J10" s="190">
        <f>SUM(J11:J104)</f>
        <v>1821550.38</v>
      </c>
      <c r="K10" s="30"/>
    </row>
    <row r="11" spans="1:12" s="154" customFormat="1" x14ac:dyDescent="0.25">
      <c r="A11" s="35" t="s">
        <v>13</v>
      </c>
      <c r="B11" s="46" t="s">
        <v>107</v>
      </c>
      <c r="C11" s="150" t="s">
        <v>256</v>
      </c>
      <c r="D11" s="151">
        <v>1</v>
      </c>
      <c r="E11" s="152" t="s">
        <v>198</v>
      </c>
      <c r="F11" s="179"/>
      <c r="G11" s="181">
        <f>103633.18*1.2</f>
        <v>124359.81599999999</v>
      </c>
      <c r="H11" s="179"/>
      <c r="I11" s="181">
        <f>103633.18*1.2</f>
        <v>124359.81599999999</v>
      </c>
      <c r="J11" s="179">
        <f>H11+I11</f>
        <v>124359.81599999999</v>
      </c>
      <c r="K11" s="191"/>
      <c r="L11" s="153"/>
    </row>
    <row r="12" spans="1:12" ht="13.5" outlineLevel="1" x14ac:dyDescent="0.25">
      <c r="A12" s="2"/>
      <c r="B12" s="36" t="s">
        <v>255</v>
      </c>
      <c r="C12" s="3" t="s">
        <v>10</v>
      </c>
      <c r="D12" s="110">
        <v>24</v>
      </c>
      <c r="E12" s="76">
        <f>(3*2+2*2+2*2+3*2+2*2+2*2)</f>
        <v>28</v>
      </c>
      <c r="F12" s="182"/>
      <c r="G12" s="182"/>
      <c r="H12" s="182"/>
      <c r="I12" s="182"/>
      <c r="J12" s="179">
        <f t="shared" ref="J12:J75" si="0">H12+I12</f>
        <v>0</v>
      </c>
      <c r="K12" s="77"/>
    </row>
    <row r="13" spans="1:12" ht="13.5" outlineLevel="1" x14ac:dyDescent="0.25">
      <c r="A13" s="2"/>
      <c r="B13" s="141" t="s">
        <v>230</v>
      </c>
      <c r="C13" s="3" t="s">
        <v>10</v>
      </c>
      <c r="D13" s="110">
        <v>18.72</v>
      </c>
      <c r="E13" s="76" t="s">
        <v>231</v>
      </c>
      <c r="F13" s="182"/>
      <c r="G13" s="182"/>
      <c r="H13" s="182"/>
      <c r="I13" s="182"/>
      <c r="J13" s="179">
        <f t="shared" si="0"/>
        <v>0</v>
      </c>
      <c r="K13" s="77"/>
    </row>
    <row r="14" spans="1:12" ht="13.5" outlineLevel="1" x14ac:dyDescent="0.2">
      <c r="A14" s="2"/>
      <c r="B14" s="78" t="s">
        <v>224</v>
      </c>
      <c r="C14" s="3" t="s">
        <v>22</v>
      </c>
      <c r="D14" s="79">
        <f>(D12+D13)*0.06*1.9</f>
        <v>4.8700799999999989</v>
      </c>
      <c r="E14" s="79" t="s">
        <v>232</v>
      </c>
      <c r="F14" s="182"/>
      <c r="G14" s="182"/>
      <c r="H14" s="182"/>
      <c r="I14" s="182"/>
      <c r="J14" s="179">
        <f t="shared" si="0"/>
        <v>0</v>
      </c>
      <c r="K14" s="77"/>
    </row>
    <row r="15" spans="1:12" ht="13.5" outlineLevel="1" x14ac:dyDescent="0.25">
      <c r="A15" s="60"/>
      <c r="B15" s="80" t="s">
        <v>23</v>
      </c>
      <c r="C15" s="62" t="s">
        <v>22</v>
      </c>
      <c r="D15" s="81">
        <f>D14</f>
        <v>4.8700799999999989</v>
      </c>
      <c r="E15" s="81"/>
      <c r="F15" s="192"/>
      <c r="G15" s="192"/>
      <c r="H15" s="192"/>
      <c r="I15" s="192"/>
      <c r="J15" s="179">
        <f t="shared" si="0"/>
        <v>0</v>
      </c>
      <c r="K15" s="82"/>
    </row>
    <row r="16" spans="1:12" ht="13.5" outlineLevel="1" x14ac:dyDescent="0.25">
      <c r="A16" s="60"/>
      <c r="B16" s="83" t="s">
        <v>108</v>
      </c>
      <c r="C16" s="62" t="s">
        <v>25</v>
      </c>
      <c r="D16" s="85">
        <v>111.7</v>
      </c>
      <c r="E16" s="81"/>
      <c r="F16" s="192"/>
      <c r="G16" s="192"/>
      <c r="H16" s="192"/>
      <c r="I16" s="192"/>
      <c r="J16" s="179">
        <f t="shared" si="0"/>
        <v>0</v>
      </c>
      <c r="K16" s="82"/>
    </row>
    <row r="17" spans="1:11" ht="13.5" outlineLevel="1" x14ac:dyDescent="0.25">
      <c r="A17" s="60"/>
      <c r="B17" s="124" t="s">
        <v>199</v>
      </c>
      <c r="C17" s="62" t="s">
        <v>28</v>
      </c>
      <c r="D17" s="81">
        <v>3</v>
      </c>
      <c r="E17" s="81"/>
      <c r="F17" s="192"/>
      <c r="G17" s="192"/>
      <c r="H17" s="192"/>
      <c r="I17" s="192"/>
      <c r="J17" s="179">
        <f t="shared" si="0"/>
        <v>0</v>
      </c>
      <c r="K17" s="82"/>
    </row>
    <row r="18" spans="1:11" ht="13.5" outlineLevel="1" x14ac:dyDescent="0.25">
      <c r="A18" s="60"/>
      <c r="B18" s="84" t="s">
        <v>200</v>
      </c>
      <c r="C18" s="3" t="s">
        <v>22</v>
      </c>
      <c r="D18" s="85">
        <v>5.4240000000000004</v>
      </c>
      <c r="E18" s="85" t="s">
        <v>233</v>
      </c>
      <c r="F18" s="192"/>
      <c r="G18" s="192"/>
      <c r="H18" s="192"/>
      <c r="I18" s="192"/>
      <c r="J18" s="179">
        <f t="shared" si="0"/>
        <v>0</v>
      </c>
      <c r="K18" s="82"/>
    </row>
    <row r="19" spans="1:11" ht="13.5" outlineLevel="1" x14ac:dyDescent="0.25">
      <c r="A19" s="60"/>
      <c r="B19" s="84" t="s">
        <v>201</v>
      </c>
      <c r="C19" s="62" t="s">
        <v>22</v>
      </c>
      <c r="D19" s="85">
        <f>D18</f>
        <v>5.4240000000000004</v>
      </c>
      <c r="E19" s="85"/>
      <c r="F19" s="192"/>
      <c r="G19" s="192"/>
      <c r="H19" s="192"/>
      <c r="I19" s="192"/>
      <c r="J19" s="179">
        <f t="shared" si="0"/>
        <v>0</v>
      </c>
      <c r="K19" s="82"/>
    </row>
    <row r="20" spans="1:11" ht="13.5" outlineLevel="1" x14ac:dyDescent="0.25">
      <c r="A20" s="60"/>
      <c r="B20" s="84" t="s">
        <v>202</v>
      </c>
      <c r="C20" s="62" t="s">
        <v>28</v>
      </c>
      <c r="D20" s="176">
        <v>2</v>
      </c>
      <c r="E20" s="85"/>
      <c r="F20" s="192"/>
      <c r="G20" s="192"/>
      <c r="H20" s="192"/>
      <c r="I20" s="192"/>
      <c r="J20" s="179">
        <f t="shared" si="0"/>
        <v>0</v>
      </c>
      <c r="K20" s="82"/>
    </row>
    <row r="21" spans="1:11" ht="13.5" outlineLevel="1" x14ac:dyDescent="0.25">
      <c r="A21" s="60"/>
      <c r="B21" s="84" t="s">
        <v>203</v>
      </c>
      <c r="C21" s="62" t="s">
        <v>28</v>
      </c>
      <c r="D21" s="176">
        <v>1</v>
      </c>
      <c r="E21" s="85"/>
      <c r="F21" s="192"/>
      <c r="G21" s="192"/>
      <c r="H21" s="192"/>
      <c r="I21" s="192"/>
      <c r="J21" s="179">
        <f t="shared" si="0"/>
        <v>0</v>
      </c>
      <c r="K21" s="82"/>
    </row>
    <row r="22" spans="1:11" ht="13.5" outlineLevel="1" x14ac:dyDescent="0.25">
      <c r="A22" s="60"/>
      <c r="B22" s="84" t="s">
        <v>109</v>
      </c>
      <c r="C22" s="62" t="s">
        <v>22</v>
      </c>
      <c r="D22" s="85">
        <v>4.05</v>
      </c>
      <c r="E22" s="85"/>
      <c r="F22" s="192"/>
      <c r="G22" s="192"/>
      <c r="H22" s="192"/>
      <c r="I22" s="192"/>
      <c r="J22" s="179">
        <f t="shared" si="0"/>
        <v>0</v>
      </c>
      <c r="K22" s="82"/>
    </row>
    <row r="23" spans="1:11" ht="13.5" outlineLevel="1" x14ac:dyDescent="0.25">
      <c r="A23" s="60"/>
      <c r="B23" s="84" t="s">
        <v>110</v>
      </c>
      <c r="C23" s="62" t="s">
        <v>22</v>
      </c>
      <c r="D23" s="85">
        <v>4.05</v>
      </c>
      <c r="E23" s="85"/>
      <c r="F23" s="192"/>
      <c r="G23" s="192"/>
      <c r="H23" s="192"/>
      <c r="I23" s="192"/>
      <c r="J23" s="179">
        <f t="shared" si="0"/>
        <v>0</v>
      </c>
      <c r="K23" s="82"/>
    </row>
    <row r="24" spans="1:11" s="75" customFormat="1" x14ac:dyDescent="0.25">
      <c r="A24" s="35" t="s">
        <v>17</v>
      </c>
      <c r="B24" s="46" t="s">
        <v>111</v>
      </c>
      <c r="C24" s="35" t="s">
        <v>0</v>
      </c>
      <c r="D24" s="155">
        <f>SUM(D25:D27)</f>
        <v>94.75</v>
      </c>
      <c r="E24" s="35" t="s">
        <v>197</v>
      </c>
      <c r="F24" s="181"/>
      <c r="G24" s="181">
        <f>I24/D24</f>
        <v>1453.7913245382586</v>
      </c>
      <c r="H24" s="181"/>
      <c r="I24" s="181">
        <f>114788.94*1.2</f>
        <v>137746.728</v>
      </c>
      <c r="J24" s="179">
        <f t="shared" si="0"/>
        <v>137746.728</v>
      </c>
      <c r="K24" s="35"/>
    </row>
    <row r="25" spans="1:11" s="75" customFormat="1" outlineLevel="1" x14ac:dyDescent="0.25">
      <c r="A25" s="125"/>
      <c r="B25" s="36" t="s">
        <v>234</v>
      </c>
      <c r="C25" s="74" t="s">
        <v>0</v>
      </c>
      <c r="D25" s="74">
        <v>12.5</v>
      </c>
      <c r="E25" s="35"/>
      <c r="F25" s="181"/>
      <c r="G25" s="181"/>
      <c r="H25" s="181"/>
      <c r="I25" s="181"/>
      <c r="J25" s="179">
        <f t="shared" si="0"/>
        <v>0</v>
      </c>
      <c r="K25" s="35"/>
    </row>
    <row r="26" spans="1:11" s="90" customFormat="1" outlineLevel="1" x14ac:dyDescent="0.25">
      <c r="A26" s="86"/>
      <c r="B26" s="87" t="s">
        <v>257</v>
      </c>
      <c r="C26" s="86" t="s">
        <v>0</v>
      </c>
      <c r="D26" s="88">
        <v>75.3</v>
      </c>
      <c r="E26" s="88"/>
      <c r="F26" s="182"/>
      <c r="G26" s="182"/>
      <c r="H26" s="182"/>
      <c r="I26" s="182"/>
      <c r="J26" s="179">
        <f t="shared" si="0"/>
        <v>0</v>
      </c>
      <c r="K26" s="89"/>
    </row>
    <row r="27" spans="1:11" s="90" customFormat="1" outlineLevel="1" x14ac:dyDescent="0.25">
      <c r="A27" s="86"/>
      <c r="B27" s="87" t="s">
        <v>252</v>
      </c>
      <c r="C27" s="86" t="s">
        <v>0</v>
      </c>
      <c r="D27" s="88">
        <v>6.95</v>
      </c>
      <c r="E27" s="88"/>
      <c r="F27" s="182"/>
      <c r="G27" s="182"/>
      <c r="H27" s="182"/>
      <c r="I27" s="182"/>
      <c r="J27" s="179">
        <f t="shared" si="0"/>
        <v>0</v>
      </c>
      <c r="K27" s="89"/>
    </row>
    <row r="28" spans="1:11" s="90" customFormat="1" outlineLevel="1" x14ac:dyDescent="0.25">
      <c r="A28" s="86"/>
      <c r="B28" s="91" t="s">
        <v>244</v>
      </c>
      <c r="C28" s="86" t="s">
        <v>22</v>
      </c>
      <c r="D28" s="92">
        <v>135.71</v>
      </c>
      <c r="E28" s="92"/>
      <c r="F28" s="182"/>
      <c r="G28" s="182"/>
      <c r="H28" s="182"/>
      <c r="I28" s="182"/>
      <c r="J28" s="179">
        <f t="shared" si="0"/>
        <v>0</v>
      </c>
      <c r="K28" s="89"/>
    </row>
    <row r="29" spans="1:11" s="90" customFormat="1" outlineLevel="1" x14ac:dyDescent="0.25">
      <c r="A29" s="86"/>
      <c r="B29" s="91" t="s">
        <v>245</v>
      </c>
      <c r="C29" s="86" t="s">
        <v>22</v>
      </c>
      <c r="D29" s="92">
        <f>D28</f>
        <v>135.71</v>
      </c>
      <c r="E29" s="92"/>
      <c r="F29" s="182"/>
      <c r="G29" s="182"/>
      <c r="H29" s="182"/>
      <c r="I29" s="182"/>
      <c r="J29" s="179">
        <f t="shared" si="0"/>
        <v>0</v>
      </c>
      <c r="K29" s="89"/>
    </row>
    <row r="30" spans="1:11" s="90" customFormat="1" outlineLevel="1" x14ac:dyDescent="0.25">
      <c r="A30" s="86"/>
      <c r="B30" s="91" t="s">
        <v>205</v>
      </c>
      <c r="C30" s="86" t="s">
        <v>0</v>
      </c>
      <c r="D30" s="72">
        <v>62.6</v>
      </c>
      <c r="E30" s="123" t="s">
        <v>204</v>
      </c>
      <c r="F30" s="182"/>
      <c r="G30" s="182"/>
      <c r="H30" s="182"/>
      <c r="I30" s="182"/>
      <c r="J30" s="179">
        <f t="shared" si="0"/>
        <v>0</v>
      </c>
      <c r="K30" s="89"/>
    </row>
    <row r="31" spans="1:11" s="90" customFormat="1" outlineLevel="1" x14ac:dyDescent="0.25">
      <c r="A31" s="86"/>
      <c r="B31" s="91" t="s">
        <v>206</v>
      </c>
      <c r="C31" s="86" t="s">
        <v>0</v>
      </c>
      <c r="D31" s="72">
        <v>6.95</v>
      </c>
      <c r="E31" s="72"/>
      <c r="F31" s="182"/>
      <c r="G31" s="182"/>
      <c r="H31" s="182"/>
      <c r="I31" s="182"/>
      <c r="J31" s="179">
        <f t="shared" si="0"/>
        <v>0</v>
      </c>
      <c r="K31" s="89"/>
    </row>
    <row r="32" spans="1:11" s="90" customFormat="1" outlineLevel="1" x14ac:dyDescent="0.25">
      <c r="A32" s="86"/>
      <c r="B32" s="93" t="s">
        <v>280</v>
      </c>
      <c r="C32" s="94" t="s">
        <v>0</v>
      </c>
      <c r="D32" s="95">
        <f>(D30+D31)*1.1</f>
        <v>76.50500000000001</v>
      </c>
      <c r="E32" s="72"/>
      <c r="F32" s="182"/>
      <c r="G32" s="182"/>
      <c r="H32" s="182"/>
      <c r="I32" s="182"/>
      <c r="J32" s="179">
        <f t="shared" si="0"/>
        <v>0</v>
      </c>
      <c r="K32" s="89"/>
    </row>
    <row r="33" spans="1:11" s="90" customFormat="1" outlineLevel="1" x14ac:dyDescent="0.25">
      <c r="A33" s="86"/>
      <c r="B33" s="91" t="s">
        <v>187</v>
      </c>
      <c r="C33" s="86" t="s">
        <v>0</v>
      </c>
      <c r="D33" s="72">
        <v>62.6</v>
      </c>
      <c r="E33" s="72"/>
      <c r="F33" s="182"/>
      <c r="G33" s="182"/>
      <c r="H33" s="182"/>
      <c r="I33" s="182"/>
      <c r="J33" s="179">
        <f t="shared" si="0"/>
        <v>0</v>
      </c>
      <c r="K33" s="89"/>
    </row>
    <row r="34" spans="1:11" s="90" customFormat="1" outlineLevel="1" x14ac:dyDescent="0.25">
      <c r="A34" s="86"/>
      <c r="B34" s="91" t="s">
        <v>235</v>
      </c>
      <c r="C34" s="86" t="s">
        <v>10</v>
      </c>
      <c r="D34" s="72">
        <v>50</v>
      </c>
      <c r="E34" s="72"/>
      <c r="F34" s="182"/>
      <c r="G34" s="182"/>
      <c r="H34" s="182"/>
      <c r="I34" s="182"/>
      <c r="J34" s="179">
        <f t="shared" si="0"/>
        <v>0</v>
      </c>
      <c r="K34" s="89"/>
    </row>
    <row r="35" spans="1:11" s="75" customFormat="1" x14ac:dyDescent="0.25">
      <c r="A35" s="96" t="s">
        <v>18</v>
      </c>
      <c r="B35" s="97" t="s">
        <v>190</v>
      </c>
      <c r="C35" s="96" t="s">
        <v>258</v>
      </c>
      <c r="D35" s="156">
        <v>1</v>
      </c>
      <c r="E35" s="140" t="s">
        <v>196</v>
      </c>
      <c r="F35" s="182">
        <f>32358.33*1.2</f>
        <v>38829.995999999999</v>
      </c>
      <c r="G35" s="182">
        <f>(36542.71-32358.33)*1.2</f>
        <v>5021.2559999999967</v>
      </c>
      <c r="H35" s="182">
        <f>F35</f>
        <v>38829.995999999999</v>
      </c>
      <c r="I35" s="182">
        <f>G35</f>
        <v>5021.2559999999967</v>
      </c>
      <c r="J35" s="179">
        <f t="shared" si="0"/>
        <v>43851.251999999993</v>
      </c>
      <c r="K35" s="157"/>
    </row>
    <row r="36" spans="1:11" s="90" customFormat="1" outlineLevel="1" x14ac:dyDescent="0.25">
      <c r="A36" s="104"/>
      <c r="B36" s="91" t="s">
        <v>192</v>
      </c>
      <c r="C36" s="86"/>
      <c r="D36" s="72"/>
      <c r="E36" s="72"/>
      <c r="F36" s="182"/>
      <c r="G36" s="182"/>
      <c r="H36" s="182"/>
      <c r="I36" s="182"/>
      <c r="J36" s="179">
        <f t="shared" si="0"/>
        <v>0</v>
      </c>
      <c r="K36" s="89"/>
    </row>
    <row r="37" spans="1:11" s="90" customFormat="1" outlineLevel="1" x14ac:dyDescent="0.25">
      <c r="A37" s="86"/>
      <c r="B37" s="93" t="s">
        <v>191</v>
      </c>
      <c r="C37" s="94" t="s">
        <v>25</v>
      </c>
      <c r="D37" s="95">
        <v>29.6</v>
      </c>
      <c r="E37" s="122" t="s">
        <v>195</v>
      </c>
      <c r="F37" s="182"/>
      <c r="G37" s="182"/>
      <c r="H37" s="182"/>
      <c r="I37" s="182"/>
      <c r="J37" s="179">
        <f t="shared" si="0"/>
        <v>0</v>
      </c>
      <c r="K37" s="89"/>
    </row>
    <row r="38" spans="1:11" s="90" customFormat="1" outlineLevel="1" x14ac:dyDescent="0.25">
      <c r="A38" s="86"/>
      <c r="B38" s="91" t="s">
        <v>112</v>
      </c>
      <c r="C38" s="94" t="s">
        <v>25</v>
      </c>
      <c r="D38" s="95">
        <v>20</v>
      </c>
      <c r="E38" s="95"/>
      <c r="F38" s="182"/>
      <c r="G38" s="182"/>
      <c r="H38" s="182"/>
      <c r="I38" s="182"/>
      <c r="J38" s="179">
        <f t="shared" si="0"/>
        <v>0</v>
      </c>
      <c r="K38" s="89"/>
    </row>
    <row r="39" spans="1:11" s="90" customFormat="1" outlineLevel="1" x14ac:dyDescent="0.25">
      <c r="A39" s="86"/>
      <c r="B39" s="93" t="s">
        <v>113</v>
      </c>
      <c r="C39" s="94" t="s">
        <v>25</v>
      </c>
      <c r="D39" s="95">
        <f>D38*1.1</f>
        <v>22</v>
      </c>
      <c r="E39" s="95"/>
      <c r="F39" s="182"/>
      <c r="G39" s="182"/>
      <c r="H39" s="182"/>
      <c r="I39" s="182"/>
      <c r="J39" s="179">
        <f t="shared" si="0"/>
        <v>0</v>
      </c>
      <c r="K39" s="89"/>
    </row>
    <row r="40" spans="1:11" s="90" customFormat="1" outlineLevel="1" x14ac:dyDescent="0.25">
      <c r="A40" s="86"/>
      <c r="B40" s="91" t="s">
        <v>114</v>
      </c>
      <c r="C40" s="86" t="s">
        <v>0</v>
      </c>
      <c r="D40" s="72">
        <v>1.2</v>
      </c>
      <c r="E40" s="72"/>
      <c r="F40" s="182"/>
      <c r="G40" s="182"/>
      <c r="H40" s="182"/>
      <c r="I40" s="182"/>
      <c r="J40" s="179">
        <f t="shared" si="0"/>
        <v>0</v>
      </c>
      <c r="K40" s="89"/>
    </row>
    <row r="41" spans="1:11" s="90" customFormat="1" outlineLevel="1" x14ac:dyDescent="0.25">
      <c r="A41" s="96"/>
      <c r="B41" s="93" t="s">
        <v>115</v>
      </c>
      <c r="C41" s="94" t="s">
        <v>0</v>
      </c>
      <c r="D41" s="95">
        <f>D40*1.1</f>
        <v>1.32</v>
      </c>
      <c r="E41" s="95"/>
      <c r="F41" s="182"/>
      <c r="G41" s="182"/>
      <c r="H41" s="182"/>
      <c r="I41" s="182"/>
      <c r="J41" s="179">
        <f t="shared" si="0"/>
        <v>0</v>
      </c>
      <c r="K41" s="89"/>
    </row>
    <row r="42" spans="1:11" s="100" customFormat="1" x14ac:dyDescent="0.25">
      <c r="A42" s="96">
        <v>4</v>
      </c>
      <c r="B42" s="97" t="s">
        <v>116</v>
      </c>
      <c r="C42" s="96" t="s">
        <v>258</v>
      </c>
      <c r="D42" s="159">
        <v>3</v>
      </c>
      <c r="E42" s="98"/>
      <c r="F42" s="193">
        <f>H42/D42</f>
        <v>99884.292000000001</v>
      </c>
      <c r="G42" s="182">
        <f>I42/D42</f>
        <v>27725.155999999992</v>
      </c>
      <c r="H42" s="182">
        <f>249710.73*1.2</f>
        <v>299652.87599999999</v>
      </c>
      <c r="I42" s="182">
        <f>(319023.62-249710.73)*1.2</f>
        <v>83175.467999999979</v>
      </c>
      <c r="J42" s="179">
        <f t="shared" si="0"/>
        <v>382828.34399999998</v>
      </c>
      <c r="K42" s="189"/>
    </row>
    <row r="43" spans="1:11" s="100" customFormat="1" outlineLevel="1" x14ac:dyDescent="0.25">
      <c r="A43" s="86"/>
      <c r="B43" s="93" t="s">
        <v>117</v>
      </c>
      <c r="C43" s="94" t="s">
        <v>0</v>
      </c>
      <c r="D43" s="101">
        <f>0.38*3</f>
        <v>1.1400000000000001</v>
      </c>
      <c r="E43" s="101"/>
      <c r="F43" s="193"/>
      <c r="G43" s="182"/>
      <c r="H43" s="182"/>
      <c r="I43" s="182"/>
      <c r="J43" s="179">
        <f t="shared" si="0"/>
        <v>0</v>
      </c>
      <c r="K43" s="99"/>
    </row>
    <row r="44" spans="1:11" s="100" customFormat="1" outlineLevel="1" x14ac:dyDescent="0.25">
      <c r="A44" s="86"/>
      <c r="B44" s="93" t="s">
        <v>118</v>
      </c>
      <c r="C44" s="94" t="s">
        <v>0</v>
      </c>
      <c r="D44" s="101">
        <f>6*0.4</f>
        <v>2.4000000000000004</v>
      </c>
      <c r="E44" s="101"/>
      <c r="F44" s="193"/>
      <c r="G44" s="182"/>
      <c r="H44" s="182"/>
      <c r="I44" s="182"/>
      <c r="J44" s="179">
        <f t="shared" si="0"/>
        <v>0</v>
      </c>
      <c r="K44" s="99"/>
    </row>
    <row r="45" spans="1:11" s="100" customFormat="1" outlineLevel="1" x14ac:dyDescent="0.25">
      <c r="A45" s="86"/>
      <c r="B45" s="93" t="s">
        <v>119</v>
      </c>
      <c r="C45" s="94" t="s">
        <v>0</v>
      </c>
      <c r="D45" s="101">
        <f>0.27*3</f>
        <v>0.81</v>
      </c>
      <c r="E45" s="101"/>
      <c r="F45" s="193"/>
      <c r="G45" s="182"/>
      <c r="H45" s="182"/>
      <c r="I45" s="182"/>
      <c r="J45" s="179">
        <f t="shared" si="0"/>
        <v>0</v>
      </c>
      <c r="K45" s="99"/>
    </row>
    <row r="46" spans="1:11" s="100" customFormat="1" outlineLevel="1" x14ac:dyDescent="0.25">
      <c r="A46" s="86"/>
      <c r="B46" s="93" t="s">
        <v>120</v>
      </c>
      <c r="C46" s="94" t="s">
        <v>0</v>
      </c>
      <c r="D46" s="101">
        <f>0.02*3</f>
        <v>0.06</v>
      </c>
      <c r="E46" s="101"/>
      <c r="F46" s="193"/>
      <c r="G46" s="182"/>
      <c r="H46" s="182"/>
      <c r="I46" s="182"/>
      <c r="J46" s="179">
        <f t="shared" si="0"/>
        <v>0</v>
      </c>
      <c r="K46" s="99"/>
    </row>
    <row r="47" spans="1:11" s="100" customFormat="1" outlineLevel="1" x14ac:dyDescent="0.25">
      <c r="A47" s="86"/>
      <c r="B47" s="93" t="s">
        <v>121</v>
      </c>
      <c r="C47" s="94" t="s">
        <v>28</v>
      </c>
      <c r="D47" s="101">
        <v>3</v>
      </c>
      <c r="E47" s="101"/>
      <c r="F47" s="193"/>
      <c r="G47" s="182"/>
      <c r="H47" s="182"/>
      <c r="I47" s="182"/>
      <c r="J47" s="179">
        <f t="shared" si="0"/>
        <v>0</v>
      </c>
      <c r="K47" s="99"/>
    </row>
    <row r="48" spans="1:11" s="100" customFormat="1" outlineLevel="1" x14ac:dyDescent="0.25">
      <c r="A48" s="86"/>
      <c r="B48" s="93" t="s">
        <v>122</v>
      </c>
      <c r="C48" s="94" t="s">
        <v>28</v>
      </c>
      <c r="D48" s="101">
        <v>3</v>
      </c>
      <c r="E48" s="101"/>
      <c r="F48" s="193"/>
      <c r="G48" s="182"/>
      <c r="H48" s="182"/>
      <c r="I48" s="182"/>
      <c r="J48" s="179">
        <f t="shared" si="0"/>
        <v>0</v>
      </c>
      <c r="K48" s="99"/>
    </row>
    <row r="49" spans="1:11" s="100" customFormat="1" outlineLevel="1" x14ac:dyDescent="0.25">
      <c r="A49" s="86"/>
      <c r="B49" s="91" t="s">
        <v>123</v>
      </c>
      <c r="C49" s="94"/>
      <c r="D49" s="101"/>
      <c r="E49" s="101"/>
      <c r="F49" s="193"/>
      <c r="G49" s="182"/>
      <c r="H49" s="182"/>
      <c r="I49" s="182"/>
      <c r="J49" s="179">
        <f t="shared" si="0"/>
        <v>0</v>
      </c>
      <c r="K49" s="99"/>
    </row>
    <row r="50" spans="1:11" s="100" customFormat="1" outlineLevel="1" x14ac:dyDescent="0.25">
      <c r="A50" s="86"/>
      <c r="B50" s="102" t="s">
        <v>124</v>
      </c>
      <c r="C50" s="94" t="s">
        <v>28</v>
      </c>
      <c r="D50" s="103">
        <f>3+4+5</f>
        <v>12</v>
      </c>
      <c r="E50" s="103"/>
      <c r="F50" s="193"/>
      <c r="G50" s="182"/>
      <c r="H50" s="182"/>
      <c r="I50" s="182"/>
      <c r="J50" s="179">
        <f t="shared" si="0"/>
        <v>0</v>
      </c>
      <c r="K50" s="99"/>
    </row>
    <row r="51" spans="1:11" s="100" customFormat="1" outlineLevel="1" x14ac:dyDescent="0.25">
      <c r="A51" s="86"/>
      <c r="B51" s="102" t="s">
        <v>125</v>
      </c>
      <c r="C51" s="94" t="s">
        <v>28</v>
      </c>
      <c r="D51" s="103">
        <f>2+2+5</f>
        <v>9</v>
      </c>
      <c r="E51" s="103"/>
      <c r="F51" s="193"/>
      <c r="G51" s="182"/>
      <c r="H51" s="182"/>
      <c r="I51" s="182"/>
      <c r="J51" s="179">
        <f t="shared" si="0"/>
        <v>0</v>
      </c>
      <c r="K51" s="99"/>
    </row>
    <row r="52" spans="1:11" s="100" customFormat="1" outlineLevel="1" x14ac:dyDescent="0.25">
      <c r="A52" s="86"/>
      <c r="B52" s="102" t="s">
        <v>126</v>
      </c>
      <c r="C52" s="94" t="s">
        <v>28</v>
      </c>
      <c r="D52" s="103">
        <f>2+2+3</f>
        <v>7</v>
      </c>
      <c r="E52" s="103"/>
      <c r="F52" s="193"/>
      <c r="G52" s="182"/>
      <c r="H52" s="182"/>
      <c r="I52" s="182"/>
      <c r="J52" s="179">
        <f t="shared" si="0"/>
        <v>0</v>
      </c>
      <c r="K52" s="99"/>
    </row>
    <row r="53" spans="1:11" s="100" customFormat="1" outlineLevel="1" x14ac:dyDescent="0.25">
      <c r="A53" s="86"/>
      <c r="B53" s="102" t="s">
        <v>127</v>
      </c>
      <c r="C53" s="94" t="s">
        <v>28</v>
      </c>
      <c r="D53" s="103">
        <f>2+1+3</f>
        <v>6</v>
      </c>
      <c r="E53" s="103"/>
      <c r="F53" s="193"/>
      <c r="G53" s="182"/>
      <c r="H53" s="182"/>
      <c r="I53" s="182"/>
      <c r="J53" s="179">
        <f t="shared" si="0"/>
        <v>0</v>
      </c>
      <c r="K53" s="99"/>
    </row>
    <row r="54" spans="1:11" s="100" customFormat="1" outlineLevel="1" x14ac:dyDescent="0.25">
      <c r="A54" s="86"/>
      <c r="B54" s="102" t="s">
        <v>128</v>
      </c>
      <c r="C54" s="94" t="s">
        <v>28</v>
      </c>
      <c r="D54" s="103">
        <f>1+1</f>
        <v>2</v>
      </c>
      <c r="E54" s="103"/>
      <c r="F54" s="193"/>
      <c r="G54" s="182"/>
      <c r="H54" s="182"/>
      <c r="I54" s="182"/>
      <c r="J54" s="179">
        <f t="shared" si="0"/>
        <v>0</v>
      </c>
      <c r="K54" s="99"/>
    </row>
    <row r="55" spans="1:11" s="100" customFormat="1" outlineLevel="1" x14ac:dyDescent="0.25">
      <c r="A55" s="86"/>
      <c r="B55" s="102" t="s">
        <v>129</v>
      </c>
      <c r="C55" s="94" t="s">
        <v>28</v>
      </c>
      <c r="D55" s="103">
        <v>1</v>
      </c>
      <c r="E55" s="103"/>
      <c r="F55" s="193"/>
      <c r="G55" s="182"/>
      <c r="H55" s="182"/>
      <c r="I55" s="182"/>
      <c r="J55" s="179">
        <f t="shared" si="0"/>
        <v>0</v>
      </c>
      <c r="K55" s="99"/>
    </row>
    <row r="56" spans="1:11" s="100" customFormat="1" outlineLevel="1" x14ac:dyDescent="0.25">
      <c r="A56" s="86"/>
      <c r="B56" s="102" t="s">
        <v>130</v>
      </c>
      <c r="C56" s="94" t="s">
        <v>28</v>
      </c>
      <c r="D56" s="103">
        <f>1+1</f>
        <v>2</v>
      </c>
      <c r="E56" s="103"/>
      <c r="F56" s="193"/>
      <c r="G56" s="182"/>
      <c r="H56" s="182"/>
      <c r="I56" s="182"/>
      <c r="J56" s="179">
        <f t="shared" si="0"/>
        <v>0</v>
      </c>
      <c r="K56" s="99"/>
    </row>
    <row r="57" spans="1:11" s="100" customFormat="1" outlineLevel="1" x14ac:dyDescent="0.25">
      <c r="A57" s="86"/>
      <c r="B57" s="102" t="s">
        <v>131</v>
      </c>
      <c r="C57" s="94" t="s">
        <v>28</v>
      </c>
      <c r="D57" s="103">
        <f>2+2+5</f>
        <v>9</v>
      </c>
      <c r="E57" s="103"/>
      <c r="F57" s="193"/>
      <c r="G57" s="182"/>
      <c r="H57" s="182"/>
      <c r="I57" s="182"/>
      <c r="J57" s="179">
        <f t="shared" si="0"/>
        <v>0</v>
      </c>
      <c r="K57" s="99"/>
    </row>
    <row r="58" spans="1:11" s="100" customFormat="1" outlineLevel="1" x14ac:dyDescent="0.25">
      <c r="A58" s="86"/>
      <c r="B58" s="102" t="s">
        <v>132</v>
      </c>
      <c r="C58" s="94" t="s">
        <v>28</v>
      </c>
      <c r="D58" s="101">
        <v>1</v>
      </c>
      <c r="E58" s="101"/>
      <c r="F58" s="193"/>
      <c r="G58" s="182"/>
      <c r="H58" s="182"/>
      <c r="I58" s="182"/>
      <c r="J58" s="179">
        <f t="shared" si="0"/>
        <v>0</v>
      </c>
      <c r="K58" s="99"/>
    </row>
    <row r="59" spans="1:11" s="100" customFormat="1" outlineLevel="1" x14ac:dyDescent="0.25">
      <c r="A59" s="86"/>
      <c r="B59" s="102" t="s">
        <v>133</v>
      </c>
      <c r="C59" s="94" t="s">
        <v>28</v>
      </c>
      <c r="D59" s="101">
        <v>2</v>
      </c>
      <c r="E59" s="101"/>
      <c r="F59" s="193"/>
      <c r="G59" s="182"/>
      <c r="H59" s="182"/>
      <c r="I59" s="182"/>
      <c r="J59" s="179">
        <f t="shared" si="0"/>
        <v>0</v>
      </c>
      <c r="K59" s="99"/>
    </row>
    <row r="60" spans="1:11" ht="13.5" outlineLevel="1" x14ac:dyDescent="0.25">
      <c r="A60" s="2"/>
      <c r="B60" s="83" t="s">
        <v>35</v>
      </c>
      <c r="C60" s="55" t="s">
        <v>10</v>
      </c>
      <c r="D60" s="110">
        <v>30</v>
      </c>
      <c r="E60" s="110"/>
      <c r="F60" s="182"/>
      <c r="G60" s="182"/>
      <c r="H60" s="182"/>
      <c r="I60" s="182"/>
      <c r="J60" s="179">
        <f t="shared" si="0"/>
        <v>0</v>
      </c>
      <c r="K60" s="77"/>
    </row>
    <row r="61" spans="1:11" ht="13.5" outlineLevel="1" x14ac:dyDescent="0.25">
      <c r="A61" s="2"/>
      <c r="B61" s="111" t="s">
        <v>37</v>
      </c>
      <c r="C61" s="49" t="s">
        <v>29</v>
      </c>
      <c r="D61" s="112">
        <f>D60*0.3*2</f>
        <v>18</v>
      </c>
      <c r="E61" s="112"/>
      <c r="F61" s="182"/>
      <c r="G61" s="182"/>
      <c r="H61" s="182"/>
      <c r="I61" s="182"/>
      <c r="J61" s="179">
        <f t="shared" si="0"/>
        <v>0</v>
      </c>
      <c r="K61" s="77"/>
    </row>
    <row r="62" spans="1:11" s="90" customFormat="1" x14ac:dyDescent="0.25">
      <c r="A62" s="96">
        <v>5</v>
      </c>
      <c r="B62" s="165" t="s">
        <v>259</v>
      </c>
      <c r="C62" s="35" t="s">
        <v>25</v>
      </c>
      <c r="D62" s="166">
        <f>D63+D74+D81+D88+D95</f>
        <v>126.66</v>
      </c>
      <c r="E62" s="140"/>
      <c r="F62" s="182">
        <f>H62/D62</f>
        <v>1323.9553765987685</v>
      </c>
      <c r="G62" s="182">
        <f>I62/D62</f>
        <v>6512.5209853150163</v>
      </c>
      <c r="H62" s="182">
        <f>(16727.56+123015.93)*1.2</f>
        <v>167692.18799999999</v>
      </c>
      <c r="I62" s="182">
        <f>(802250.75+24889.33)*1.2-H62</f>
        <v>824875.90799999994</v>
      </c>
      <c r="J62" s="179">
        <f t="shared" si="0"/>
        <v>992568.0959999999</v>
      </c>
      <c r="K62" s="89"/>
    </row>
    <row r="63" spans="1:11" s="90" customFormat="1" outlineLevel="1" x14ac:dyDescent="0.25">
      <c r="A63" s="96"/>
      <c r="B63" s="133" t="s">
        <v>152</v>
      </c>
      <c r="C63" s="35" t="s">
        <v>25</v>
      </c>
      <c r="D63" s="140">
        <v>5.66</v>
      </c>
      <c r="E63" s="140"/>
      <c r="F63" s="182"/>
      <c r="G63" s="182"/>
      <c r="H63" s="182"/>
      <c r="I63" s="182"/>
      <c r="J63" s="179">
        <f t="shared" si="0"/>
        <v>0</v>
      </c>
      <c r="K63" s="89"/>
    </row>
    <row r="64" spans="1:11" s="90" customFormat="1" outlineLevel="1" x14ac:dyDescent="0.25">
      <c r="A64" s="104"/>
      <c r="B64" s="91" t="s">
        <v>276</v>
      </c>
      <c r="C64" s="94" t="s">
        <v>0</v>
      </c>
      <c r="D64" s="95">
        <v>5.5</v>
      </c>
      <c r="E64" s="95"/>
      <c r="F64" s="182"/>
      <c r="G64" s="182"/>
      <c r="H64" s="182"/>
      <c r="I64" s="182"/>
      <c r="J64" s="179">
        <f t="shared" si="0"/>
        <v>0</v>
      </c>
      <c r="K64" s="89"/>
    </row>
    <row r="65" spans="1:11" s="90" customFormat="1" outlineLevel="1" x14ac:dyDescent="0.25">
      <c r="A65" s="104"/>
      <c r="B65" s="91" t="s">
        <v>277</v>
      </c>
      <c r="C65" s="94" t="s">
        <v>0</v>
      </c>
      <c r="D65" s="95">
        <v>0.16</v>
      </c>
      <c r="E65" s="95"/>
      <c r="F65" s="182"/>
      <c r="G65" s="182"/>
      <c r="H65" s="182"/>
      <c r="I65" s="182"/>
      <c r="J65" s="179">
        <f t="shared" si="0"/>
        <v>0</v>
      </c>
      <c r="K65" s="89"/>
    </row>
    <row r="66" spans="1:11" s="90" customFormat="1" outlineLevel="1" x14ac:dyDescent="0.25">
      <c r="A66" s="104"/>
      <c r="B66" s="91" t="s">
        <v>279</v>
      </c>
      <c r="C66" s="94" t="s">
        <v>0</v>
      </c>
      <c r="D66" s="95">
        <f>D64+D65</f>
        <v>5.66</v>
      </c>
      <c r="E66" s="95"/>
      <c r="F66" s="182"/>
      <c r="G66" s="182"/>
      <c r="H66" s="182"/>
      <c r="I66" s="182"/>
      <c r="J66" s="179">
        <f t="shared" si="0"/>
        <v>0</v>
      </c>
      <c r="K66" s="89"/>
    </row>
    <row r="67" spans="1:11" s="90" customFormat="1" outlineLevel="1" x14ac:dyDescent="0.25">
      <c r="A67" s="104"/>
      <c r="B67" s="91" t="s">
        <v>135</v>
      </c>
      <c r="C67" s="94" t="s">
        <v>0</v>
      </c>
      <c r="D67" s="95">
        <v>5.5</v>
      </c>
      <c r="E67" s="95"/>
      <c r="F67" s="182"/>
      <c r="G67" s="182"/>
      <c r="H67" s="182"/>
      <c r="I67" s="182"/>
      <c r="J67" s="179">
        <f t="shared" si="0"/>
        <v>0</v>
      </c>
      <c r="K67" s="89"/>
    </row>
    <row r="68" spans="1:11" s="90" customFormat="1" outlineLevel="1" x14ac:dyDescent="0.25">
      <c r="A68" s="104"/>
      <c r="B68" s="91" t="s">
        <v>278</v>
      </c>
      <c r="C68" s="94" t="s">
        <v>0</v>
      </c>
      <c r="D68" s="95">
        <v>0.16</v>
      </c>
      <c r="E68" s="95"/>
      <c r="F68" s="182"/>
      <c r="G68" s="182"/>
      <c r="H68" s="182"/>
      <c r="I68" s="182"/>
      <c r="J68" s="179">
        <f t="shared" si="0"/>
        <v>0</v>
      </c>
      <c r="K68" s="89"/>
    </row>
    <row r="69" spans="1:11" s="90" customFormat="1" outlineLevel="1" x14ac:dyDescent="0.25">
      <c r="A69" s="104"/>
      <c r="B69" s="91" t="s">
        <v>134</v>
      </c>
      <c r="C69" s="94" t="s">
        <v>0</v>
      </c>
      <c r="D69" s="95">
        <v>5.5</v>
      </c>
      <c r="E69" s="95"/>
      <c r="F69" s="182"/>
      <c r="G69" s="182"/>
      <c r="H69" s="182"/>
      <c r="I69" s="182"/>
      <c r="J69" s="179">
        <f t="shared" si="0"/>
        <v>0</v>
      </c>
      <c r="K69" s="89"/>
    </row>
    <row r="70" spans="1:11" s="90" customFormat="1" outlineLevel="1" x14ac:dyDescent="0.25">
      <c r="A70" s="104"/>
      <c r="B70" s="91" t="s">
        <v>147</v>
      </c>
      <c r="C70" s="86" t="s">
        <v>25</v>
      </c>
      <c r="D70" s="72">
        <v>5</v>
      </c>
      <c r="E70" s="72"/>
      <c r="F70" s="182"/>
      <c r="G70" s="182"/>
      <c r="H70" s="182"/>
      <c r="I70" s="182"/>
      <c r="J70" s="179">
        <f t="shared" si="0"/>
        <v>0</v>
      </c>
      <c r="K70" s="89"/>
    </row>
    <row r="71" spans="1:11" s="100" customFormat="1" outlineLevel="1" x14ac:dyDescent="0.25">
      <c r="A71" s="86"/>
      <c r="B71" s="93" t="s">
        <v>145</v>
      </c>
      <c r="C71" s="94" t="s">
        <v>25</v>
      </c>
      <c r="D71" s="107">
        <v>5.5</v>
      </c>
      <c r="E71" s="107"/>
      <c r="F71" s="193"/>
      <c r="G71" s="182"/>
      <c r="H71" s="182"/>
      <c r="I71" s="182"/>
      <c r="J71" s="179">
        <f t="shared" si="0"/>
        <v>0</v>
      </c>
      <c r="K71" s="99"/>
    </row>
    <row r="72" spans="1:11" s="100" customFormat="1" outlineLevel="1" x14ac:dyDescent="0.25">
      <c r="A72" s="86"/>
      <c r="B72" s="84" t="s">
        <v>207</v>
      </c>
      <c r="C72" s="94" t="s">
        <v>28</v>
      </c>
      <c r="D72" s="107">
        <v>11</v>
      </c>
      <c r="E72" s="107"/>
      <c r="F72" s="193"/>
      <c r="G72" s="182"/>
      <c r="H72" s="182"/>
      <c r="I72" s="182"/>
      <c r="J72" s="179">
        <f t="shared" si="0"/>
        <v>0</v>
      </c>
      <c r="K72" s="99"/>
    </row>
    <row r="73" spans="1:11" s="100" customFormat="1" outlineLevel="1" x14ac:dyDescent="0.25">
      <c r="A73" s="86"/>
      <c r="B73" s="84" t="s">
        <v>208</v>
      </c>
      <c r="C73" s="94" t="s">
        <v>28</v>
      </c>
      <c r="D73" s="107">
        <v>11</v>
      </c>
      <c r="E73" s="107"/>
      <c r="F73" s="193"/>
      <c r="G73" s="182"/>
      <c r="H73" s="182"/>
      <c r="I73" s="182"/>
      <c r="J73" s="179">
        <f t="shared" si="0"/>
        <v>0</v>
      </c>
      <c r="K73" s="99"/>
    </row>
    <row r="74" spans="1:11" s="100" customFormat="1" outlineLevel="1" x14ac:dyDescent="0.25">
      <c r="A74" s="74"/>
      <c r="B74" s="133" t="s">
        <v>146</v>
      </c>
      <c r="C74" s="35" t="s">
        <v>25</v>
      </c>
      <c r="D74" s="158">
        <v>46</v>
      </c>
      <c r="E74" s="38"/>
      <c r="F74" s="193"/>
      <c r="G74" s="182"/>
      <c r="H74" s="182"/>
      <c r="I74" s="182"/>
      <c r="J74" s="179">
        <f t="shared" si="0"/>
        <v>0</v>
      </c>
      <c r="K74" s="99"/>
    </row>
    <row r="75" spans="1:11" s="90" customFormat="1" outlineLevel="1" x14ac:dyDescent="0.25">
      <c r="A75" s="74"/>
      <c r="B75" s="105" t="s">
        <v>136</v>
      </c>
      <c r="C75" s="74" t="s">
        <v>0</v>
      </c>
      <c r="D75" s="72">
        <v>6.5</v>
      </c>
      <c r="E75" s="72"/>
      <c r="F75" s="182"/>
      <c r="G75" s="182"/>
      <c r="H75" s="182"/>
      <c r="I75" s="182"/>
      <c r="J75" s="179">
        <f t="shared" si="0"/>
        <v>0</v>
      </c>
      <c r="K75" s="89"/>
    </row>
    <row r="76" spans="1:11" s="90" customFormat="1" outlineLevel="1" x14ac:dyDescent="0.25">
      <c r="A76" s="74"/>
      <c r="B76" s="105" t="s">
        <v>135</v>
      </c>
      <c r="C76" s="74" t="s">
        <v>0</v>
      </c>
      <c r="D76" s="72">
        <v>6.5</v>
      </c>
      <c r="E76" s="72"/>
      <c r="F76" s="182"/>
      <c r="G76" s="182"/>
      <c r="H76" s="182"/>
      <c r="I76" s="182"/>
      <c r="J76" s="179">
        <f t="shared" ref="J76:J104" si="1">H76+I76</f>
        <v>0</v>
      </c>
      <c r="K76" s="89"/>
    </row>
    <row r="77" spans="1:11" s="90" customFormat="1" outlineLevel="1" x14ac:dyDescent="0.25">
      <c r="A77" s="74"/>
      <c r="B77" s="105" t="s">
        <v>137</v>
      </c>
      <c r="C77" s="74" t="s">
        <v>0</v>
      </c>
      <c r="D77" s="72">
        <v>6.5</v>
      </c>
      <c r="E77" s="72"/>
      <c r="F77" s="182"/>
      <c r="G77" s="182"/>
      <c r="H77" s="182"/>
      <c r="I77" s="182"/>
      <c r="J77" s="179">
        <f t="shared" si="1"/>
        <v>0</v>
      </c>
      <c r="K77" s="89"/>
    </row>
    <row r="78" spans="1:11" s="90" customFormat="1" outlineLevel="1" x14ac:dyDescent="0.25">
      <c r="A78" s="74"/>
      <c r="B78" s="105" t="s">
        <v>138</v>
      </c>
      <c r="C78" s="74" t="s">
        <v>28</v>
      </c>
      <c r="D78" s="72">
        <v>1</v>
      </c>
      <c r="E78" s="72"/>
      <c r="F78" s="182"/>
      <c r="G78" s="182"/>
      <c r="H78" s="182"/>
      <c r="I78" s="182"/>
      <c r="J78" s="179">
        <f t="shared" si="1"/>
        <v>0</v>
      </c>
      <c r="K78" s="89"/>
    </row>
    <row r="79" spans="1:11" s="100" customFormat="1" ht="25.5" outlineLevel="1" x14ac:dyDescent="0.25">
      <c r="A79" s="74"/>
      <c r="B79" s="105" t="s">
        <v>149</v>
      </c>
      <c r="C79" s="74" t="s">
        <v>25</v>
      </c>
      <c r="D79" s="72">
        <v>46</v>
      </c>
      <c r="E79" s="72"/>
      <c r="F79" s="193"/>
      <c r="G79" s="182"/>
      <c r="H79" s="182"/>
      <c r="I79" s="182"/>
      <c r="J79" s="179">
        <f t="shared" si="1"/>
        <v>0</v>
      </c>
      <c r="K79" s="99"/>
    </row>
    <row r="80" spans="1:11" s="100" customFormat="1" outlineLevel="1" x14ac:dyDescent="0.25">
      <c r="A80" s="74"/>
      <c r="B80" s="93" t="s">
        <v>139</v>
      </c>
      <c r="C80" s="114" t="s">
        <v>25</v>
      </c>
      <c r="D80" s="139">
        <v>48</v>
      </c>
      <c r="E80" s="139"/>
      <c r="F80" s="193"/>
      <c r="G80" s="182"/>
      <c r="H80" s="182"/>
      <c r="I80" s="182"/>
      <c r="J80" s="179">
        <f t="shared" si="1"/>
        <v>0</v>
      </c>
      <c r="K80" s="99"/>
    </row>
    <row r="81" spans="1:11" s="90" customFormat="1" outlineLevel="1" x14ac:dyDescent="0.25">
      <c r="A81" s="35"/>
      <c r="B81" s="133" t="s">
        <v>148</v>
      </c>
      <c r="C81" s="35" t="s">
        <v>25</v>
      </c>
      <c r="D81" s="140">
        <v>34</v>
      </c>
      <c r="E81" s="72"/>
      <c r="F81" s="182"/>
      <c r="G81" s="182"/>
      <c r="H81" s="182"/>
      <c r="I81" s="182"/>
      <c r="J81" s="179">
        <f t="shared" si="1"/>
        <v>0</v>
      </c>
      <c r="K81" s="89"/>
    </row>
    <row r="82" spans="1:11" s="90" customFormat="1" outlineLevel="1" x14ac:dyDescent="0.25">
      <c r="A82" s="74"/>
      <c r="B82" s="105" t="s">
        <v>136</v>
      </c>
      <c r="C82" s="74" t="s">
        <v>0</v>
      </c>
      <c r="D82" s="72">
        <v>6.5</v>
      </c>
      <c r="E82" s="72"/>
      <c r="F82" s="182"/>
      <c r="G82" s="182"/>
      <c r="H82" s="182"/>
      <c r="I82" s="182"/>
      <c r="J82" s="179">
        <f t="shared" si="1"/>
        <v>0</v>
      </c>
      <c r="K82" s="89"/>
    </row>
    <row r="83" spans="1:11" s="90" customFormat="1" outlineLevel="1" x14ac:dyDescent="0.25">
      <c r="A83" s="74"/>
      <c r="B83" s="105" t="s">
        <v>135</v>
      </c>
      <c r="C83" s="74" t="s">
        <v>0</v>
      </c>
      <c r="D83" s="72">
        <v>6.5</v>
      </c>
      <c r="E83" s="72"/>
      <c r="F83" s="182"/>
      <c r="G83" s="182"/>
      <c r="H83" s="182"/>
      <c r="I83" s="182"/>
      <c r="J83" s="179">
        <f t="shared" si="1"/>
        <v>0</v>
      </c>
      <c r="K83" s="89"/>
    </row>
    <row r="84" spans="1:11" s="90" customFormat="1" outlineLevel="1" x14ac:dyDescent="0.25">
      <c r="A84" s="74"/>
      <c r="B84" s="105" t="s">
        <v>137</v>
      </c>
      <c r="C84" s="74" t="s">
        <v>0</v>
      </c>
      <c r="D84" s="72">
        <v>6.5</v>
      </c>
      <c r="E84" s="72"/>
      <c r="F84" s="182"/>
      <c r="G84" s="182"/>
      <c r="H84" s="182"/>
      <c r="I84" s="182"/>
      <c r="J84" s="179">
        <f t="shared" si="1"/>
        <v>0</v>
      </c>
      <c r="K84" s="89"/>
    </row>
    <row r="85" spans="1:11" s="90" customFormat="1" outlineLevel="1" x14ac:dyDescent="0.25">
      <c r="A85" s="74"/>
      <c r="B85" s="105" t="s">
        <v>138</v>
      </c>
      <c r="C85" s="74" t="s">
        <v>28</v>
      </c>
      <c r="D85" s="72">
        <v>1</v>
      </c>
      <c r="E85" s="72"/>
      <c r="F85" s="182"/>
      <c r="G85" s="182"/>
      <c r="H85" s="182"/>
      <c r="I85" s="182"/>
      <c r="J85" s="179">
        <f t="shared" si="1"/>
        <v>0</v>
      </c>
      <c r="K85" s="89"/>
    </row>
    <row r="86" spans="1:11" s="100" customFormat="1" ht="25.5" outlineLevel="1" x14ac:dyDescent="0.25">
      <c r="A86" s="74"/>
      <c r="B86" s="105" t="s">
        <v>150</v>
      </c>
      <c r="C86" s="74" t="s">
        <v>25</v>
      </c>
      <c r="D86" s="72">
        <v>34</v>
      </c>
      <c r="E86" s="72"/>
      <c r="F86" s="193"/>
      <c r="G86" s="182"/>
      <c r="H86" s="182"/>
      <c r="I86" s="182"/>
      <c r="J86" s="179">
        <f t="shared" si="1"/>
        <v>0</v>
      </c>
      <c r="K86" s="99"/>
    </row>
    <row r="87" spans="1:11" s="100" customFormat="1" outlineLevel="1" x14ac:dyDescent="0.25">
      <c r="A87" s="74"/>
      <c r="B87" s="93" t="s">
        <v>140</v>
      </c>
      <c r="C87" s="114" t="s">
        <v>25</v>
      </c>
      <c r="D87" s="139">
        <v>36</v>
      </c>
      <c r="E87" s="139"/>
      <c r="F87" s="193"/>
      <c r="G87" s="182"/>
      <c r="H87" s="182"/>
      <c r="I87" s="182"/>
      <c r="J87" s="179">
        <f t="shared" si="1"/>
        <v>0</v>
      </c>
      <c r="K87" s="99"/>
    </row>
    <row r="88" spans="1:11" s="100" customFormat="1" ht="13.5" outlineLevel="1" x14ac:dyDescent="0.25">
      <c r="A88" s="74"/>
      <c r="B88" s="133" t="s">
        <v>151</v>
      </c>
      <c r="C88" s="149" t="s">
        <v>25</v>
      </c>
      <c r="D88" s="158">
        <v>30</v>
      </c>
      <c r="E88" s="38"/>
      <c r="F88" s="193"/>
      <c r="G88" s="182"/>
      <c r="H88" s="182"/>
      <c r="I88" s="182"/>
      <c r="J88" s="179">
        <f t="shared" si="1"/>
        <v>0</v>
      </c>
      <c r="K88" s="99"/>
    </row>
    <row r="89" spans="1:11" s="90" customFormat="1" outlineLevel="1" x14ac:dyDescent="0.25">
      <c r="A89" s="74"/>
      <c r="B89" s="105" t="s">
        <v>136</v>
      </c>
      <c r="C89" s="86" t="s">
        <v>0</v>
      </c>
      <c r="D89" s="92">
        <v>6.5</v>
      </c>
      <c r="E89" s="92"/>
      <c r="F89" s="182"/>
      <c r="G89" s="182"/>
      <c r="H89" s="182"/>
      <c r="I89" s="182"/>
      <c r="J89" s="179">
        <f t="shared" si="1"/>
        <v>0</v>
      </c>
      <c r="K89" s="89"/>
    </row>
    <row r="90" spans="1:11" s="90" customFormat="1" outlineLevel="1" x14ac:dyDescent="0.25">
      <c r="A90" s="74"/>
      <c r="B90" s="105" t="s">
        <v>135</v>
      </c>
      <c r="C90" s="86" t="s">
        <v>0</v>
      </c>
      <c r="D90" s="92">
        <v>6.5</v>
      </c>
      <c r="E90" s="92"/>
      <c r="F90" s="182"/>
      <c r="G90" s="182"/>
      <c r="H90" s="182"/>
      <c r="I90" s="182"/>
      <c r="J90" s="179">
        <f t="shared" si="1"/>
        <v>0</v>
      </c>
      <c r="K90" s="89"/>
    </row>
    <row r="91" spans="1:11" s="90" customFormat="1" outlineLevel="1" x14ac:dyDescent="0.25">
      <c r="A91" s="74"/>
      <c r="B91" s="105" t="s">
        <v>137</v>
      </c>
      <c r="C91" s="86" t="s">
        <v>0</v>
      </c>
      <c r="D91" s="92">
        <v>6.5</v>
      </c>
      <c r="E91" s="92"/>
      <c r="F91" s="182"/>
      <c r="G91" s="182"/>
      <c r="H91" s="182"/>
      <c r="I91" s="182"/>
      <c r="J91" s="179">
        <f t="shared" si="1"/>
        <v>0</v>
      </c>
      <c r="K91" s="89"/>
    </row>
    <row r="92" spans="1:11" s="90" customFormat="1" outlineLevel="1" x14ac:dyDescent="0.25">
      <c r="A92" s="74"/>
      <c r="B92" s="105" t="s">
        <v>138</v>
      </c>
      <c r="C92" s="86" t="s">
        <v>28</v>
      </c>
      <c r="D92" s="92">
        <v>1</v>
      </c>
      <c r="E92" s="92"/>
      <c r="F92" s="182"/>
      <c r="G92" s="182"/>
      <c r="H92" s="182"/>
      <c r="I92" s="182"/>
      <c r="J92" s="179">
        <f t="shared" si="1"/>
        <v>0</v>
      </c>
      <c r="K92" s="89"/>
    </row>
    <row r="93" spans="1:11" s="100" customFormat="1" ht="25.5" outlineLevel="1" x14ac:dyDescent="0.25">
      <c r="A93" s="74"/>
      <c r="B93" s="105" t="s">
        <v>141</v>
      </c>
      <c r="C93" s="86" t="s">
        <v>25</v>
      </c>
      <c r="D93" s="92">
        <v>30</v>
      </c>
      <c r="E93" s="92"/>
      <c r="F93" s="193"/>
      <c r="G93" s="182"/>
      <c r="H93" s="182"/>
      <c r="I93" s="182"/>
      <c r="J93" s="179">
        <f t="shared" si="1"/>
        <v>0</v>
      </c>
      <c r="K93" s="99"/>
    </row>
    <row r="94" spans="1:11" s="100" customFormat="1" outlineLevel="1" x14ac:dyDescent="0.25">
      <c r="A94" s="74"/>
      <c r="B94" s="93" t="s">
        <v>142</v>
      </c>
      <c r="C94" s="94" t="s">
        <v>25</v>
      </c>
      <c r="D94" s="101">
        <v>32</v>
      </c>
      <c r="E94" s="101"/>
      <c r="F94" s="193"/>
      <c r="G94" s="182"/>
      <c r="H94" s="182"/>
      <c r="I94" s="182"/>
      <c r="J94" s="179">
        <f t="shared" si="1"/>
        <v>0</v>
      </c>
      <c r="K94" s="99"/>
    </row>
    <row r="95" spans="1:11" s="100" customFormat="1" outlineLevel="1" x14ac:dyDescent="0.25">
      <c r="A95" s="74"/>
      <c r="B95" s="133" t="s">
        <v>154</v>
      </c>
      <c r="C95" s="35" t="s">
        <v>25</v>
      </c>
      <c r="D95" s="158">
        <v>11</v>
      </c>
      <c r="E95" s="38"/>
      <c r="F95" s="193"/>
      <c r="G95" s="182"/>
      <c r="H95" s="182"/>
      <c r="I95" s="182"/>
      <c r="J95" s="179">
        <f t="shared" si="1"/>
        <v>0</v>
      </c>
      <c r="K95" s="99"/>
    </row>
    <row r="96" spans="1:11" s="90" customFormat="1" outlineLevel="1" x14ac:dyDescent="0.25">
      <c r="A96" s="74"/>
      <c r="B96" s="105" t="s">
        <v>136</v>
      </c>
      <c r="C96" s="86" t="s">
        <v>0</v>
      </c>
      <c r="D96" s="92">
        <v>6.5</v>
      </c>
      <c r="E96" s="92"/>
      <c r="F96" s="182"/>
      <c r="G96" s="182"/>
      <c r="H96" s="182"/>
      <c r="I96" s="182"/>
      <c r="J96" s="179">
        <f t="shared" si="1"/>
        <v>0</v>
      </c>
      <c r="K96" s="89"/>
    </row>
    <row r="97" spans="1:11" s="90" customFormat="1" outlineLevel="1" x14ac:dyDescent="0.25">
      <c r="A97" s="74"/>
      <c r="B97" s="105" t="s">
        <v>135</v>
      </c>
      <c r="C97" s="86" t="s">
        <v>0</v>
      </c>
      <c r="D97" s="92">
        <v>6.5</v>
      </c>
      <c r="E97" s="92"/>
      <c r="F97" s="182"/>
      <c r="G97" s="182"/>
      <c r="H97" s="182"/>
      <c r="I97" s="182"/>
      <c r="J97" s="179">
        <f t="shared" si="1"/>
        <v>0</v>
      </c>
      <c r="K97" s="89"/>
    </row>
    <row r="98" spans="1:11" s="90" customFormat="1" outlineLevel="1" x14ac:dyDescent="0.25">
      <c r="A98" s="74"/>
      <c r="B98" s="105" t="s">
        <v>137</v>
      </c>
      <c r="C98" s="86" t="s">
        <v>0</v>
      </c>
      <c r="D98" s="92">
        <v>6.5</v>
      </c>
      <c r="E98" s="92"/>
      <c r="F98" s="182"/>
      <c r="G98" s="182"/>
      <c r="H98" s="182"/>
      <c r="I98" s="182"/>
      <c r="J98" s="179">
        <f t="shared" si="1"/>
        <v>0</v>
      </c>
      <c r="K98" s="89"/>
    </row>
    <row r="99" spans="1:11" s="90" customFormat="1" outlineLevel="1" x14ac:dyDescent="0.25">
      <c r="A99" s="74"/>
      <c r="B99" s="105" t="s">
        <v>138</v>
      </c>
      <c r="C99" s="86" t="s">
        <v>28</v>
      </c>
      <c r="D99" s="92">
        <v>1</v>
      </c>
      <c r="E99" s="92"/>
      <c r="F99" s="182"/>
      <c r="G99" s="182"/>
      <c r="H99" s="182"/>
      <c r="I99" s="182"/>
      <c r="J99" s="179">
        <f t="shared" si="1"/>
        <v>0</v>
      </c>
      <c r="K99" s="89"/>
    </row>
    <row r="100" spans="1:11" s="100" customFormat="1" ht="25.5" outlineLevel="1" x14ac:dyDescent="0.25">
      <c r="A100" s="74"/>
      <c r="B100" s="105" t="s">
        <v>283</v>
      </c>
      <c r="C100" s="86" t="s">
        <v>25</v>
      </c>
      <c r="D100" s="92">
        <v>11</v>
      </c>
      <c r="E100" s="92"/>
      <c r="F100" s="193"/>
      <c r="G100" s="182"/>
      <c r="H100" s="182"/>
      <c r="I100" s="182"/>
      <c r="J100" s="179">
        <f t="shared" si="1"/>
        <v>0</v>
      </c>
      <c r="K100" s="99"/>
    </row>
    <row r="101" spans="1:11" s="100" customFormat="1" outlineLevel="1" x14ac:dyDescent="0.25">
      <c r="A101" s="74"/>
      <c r="B101" s="93" t="s">
        <v>282</v>
      </c>
      <c r="C101" s="94" t="s">
        <v>25</v>
      </c>
      <c r="D101" s="101">
        <v>13</v>
      </c>
      <c r="E101" s="101"/>
      <c r="F101" s="193"/>
      <c r="G101" s="182"/>
      <c r="H101" s="182"/>
      <c r="I101" s="182"/>
      <c r="J101" s="179">
        <f t="shared" si="1"/>
        <v>0</v>
      </c>
      <c r="K101" s="99"/>
    </row>
    <row r="102" spans="1:11" s="100" customFormat="1" outlineLevel="1" x14ac:dyDescent="0.25">
      <c r="A102" s="125"/>
      <c r="B102" s="108" t="s">
        <v>143</v>
      </c>
      <c r="C102" s="86" t="s">
        <v>32</v>
      </c>
      <c r="D102" s="178">
        <f>D95+D88+D81+D74+D63</f>
        <v>126.66</v>
      </c>
      <c r="E102" s="106"/>
      <c r="F102" s="193"/>
      <c r="G102" s="182"/>
      <c r="H102" s="182"/>
      <c r="I102" s="182"/>
      <c r="J102" s="179">
        <f t="shared" si="1"/>
        <v>0</v>
      </c>
      <c r="K102" s="99"/>
    </row>
    <row r="103" spans="1:11" s="100" customFormat="1" outlineLevel="1" x14ac:dyDescent="0.25">
      <c r="A103" s="74"/>
      <c r="B103" s="84" t="s">
        <v>209</v>
      </c>
      <c r="C103" s="94" t="s">
        <v>25</v>
      </c>
      <c r="D103" s="107">
        <f>D95+D88+D81+D74+D63</f>
        <v>126.66</v>
      </c>
      <c r="E103" s="107"/>
      <c r="F103" s="193"/>
      <c r="G103" s="182"/>
      <c r="H103" s="182"/>
      <c r="I103" s="182"/>
      <c r="J103" s="179">
        <f t="shared" si="1"/>
        <v>0</v>
      </c>
      <c r="K103" s="99"/>
    </row>
    <row r="104" spans="1:11" s="100" customFormat="1" x14ac:dyDescent="0.25">
      <c r="A104" s="134" t="s">
        <v>153</v>
      </c>
      <c r="B104" s="161" t="s">
        <v>223</v>
      </c>
      <c r="C104" s="96" t="s">
        <v>10</v>
      </c>
      <c r="D104" s="155">
        <f>D109</f>
        <v>24</v>
      </c>
      <c r="E104" s="107"/>
      <c r="F104" s="193">
        <f>H104/D104</f>
        <v>4522.2650000000003</v>
      </c>
      <c r="G104" s="194">
        <f>I104/D104</f>
        <v>1319.241</v>
      </c>
      <c r="H104" s="182">
        <f>90445.3*1.2</f>
        <v>108534.36</v>
      </c>
      <c r="I104" s="182">
        <f>116830.12*1.2-H104</f>
        <v>31661.784</v>
      </c>
      <c r="J104" s="179">
        <f t="shared" si="1"/>
        <v>140196.144</v>
      </c>
      <c r="K104" s="99"/>
    </row>
    <row r="105" spans="1:11" customFormat="1" ht="15" outlineLevel="1" x14ac:dyDescent="0.25">
      <c r="A105" s="135"/>
      <c r="B105" s="84" t="s">
        <v>210</v>
      </c>
      <c r="C105" s="162" t="s">
        <v>0</v>
      </c>
      <c r="D105" s="163">
        <v>32.159999999999997</v>
      </c>
      <c r="E105" s="164" t="s">
        <v>211</v>
      </c>
      <c r="F105" s="183"/>
      <c r="G105" s="184"/>
      <c r="H105" s="185"/>
      <c r="I105" s="186"/>
      <c r="J105" s="186"/>
      <c r="K105" s="160"/>
    </row>
    <row r="106" spans="1:11" customFormat="1" ht="15" outlineLevel="1" x14ac:dyDescent="0.25">
      <c r="A106" s="135"/>
      <c r="B106" s="84" t="s">
        <v>212</v>
      </c>
      <c r="C106" s="126" t="s">
        <v>0</v>
      </c>
      <c r="D106" s="142">
        <v>35.380000000000003</v>
      </c>
      <c r="E106" s="84"/>
      <c r="F106" s="187"/>
      <c r="G106" s="184"/>
      <c r="H106" s="185"/>
      <c r="I106" s="186"/>
      <c r="J106" s="186"/>
      <c r="K106" s="160"/>
    </row>
    <row r="107" spans="1:11" customFormat="1" ht="15" outlineLevel="1" x14ac:dyDescent="0.25">
      <c r="A107" s="135"/>
      <c r="B107" s="84" t="s">
        <v>213</v>
      </c>
      <c r="C107" s="126" t="s">
        <v>0</v>
      </c>
      <c r="D107" s="142">
        <v>6</v>
      </c>
      <c r="E107" s="84"/>
      <c r="F107" s="187"/>
      <c r="G107" s="184"/>
      <c r="H107" s="185"/>
      <c r="I107" s="186"/>
      <c r="J107" s="186"/>
      <c r="K107" s="160"/>
    </row>
    <row r="108" spans="1:11" customFormat="1" ht="25.5" outlineLevel="1" x14ac:dyDescent="0.25">
      <c r="A108" s="135"/>
      <c r="B108" s="84" t="s">
        <v>214</v>
      </c>
      <c r="C108" s="126" t="s">
        <v>0</v>
      </c>
      <c r="D108" s="142">
        <v>7.32</v>
      </c>
      <c r="E108" s="84"/>
      <c r="F108" s="187"/>
      <c r="G108" s="184"/>
      <c r="H108" s="185"/>
      <c r="I108" s="186"/>
      <c r="J108" s="186"/>
      <c r="K108" s="160"/>
    </row>
    <row r="109" spans="1:11" customFormat="1" ht="25.5" outlineLevel="1" x14ac:dyDescent="0.25">
      <c r="A109" s="135"/>
      <c r="B109" s="84" t="s">
        <v>215</v>
      </c>
      <c r="C109" s="126" t="s">
        <v>10</v>
      </c>
      <c r="D109" s="167">
        <v>24</v>
      </c>
      <c r="E109" s="84"/>
      <c r="F109" s="187"/>
      <c r="G109" s="184"/>
      <c r="H109" s="185"/>
      <c r="I109" s="186"/>
      <c r="J109" s="186"/>
      <c r="K109" s="160"/>
    </row>
    <row r="110" spans="1:11" customFormat="1" ht="15" outlineLevel="1" x14ac:dyDescent="0.25">
      <c r="A110" s="135"/>
      <c r="B110" s="84" t="s">
        <v>216</v>
      </c>
      <c r="C110" s="126" t="s">
        <v>217</v>
      </c>
      <c r="D110" s="142">
        <v>1.183E-2</v>
      </c>
      <c r="E110" s="84"/>
      <c r="F110" s="187"/>
      <c r="G110" s="184"/>
      <c r="H110" s="185"/>
      <c r="I110" s="186"/>
      <c r="J110" s="186"/>
      <c r="K110" s="160"/>
    </row>
    <row r="111" spans="1:11" customFormat="1" ht="15" outlineLevel="1" x14ac:dyDescent="0.25">
      <c r="A111" s="135"/>
      <c r="B111" s="84" t="s">
        <v>218</v>
      </c>
      <c r="C111" s="126" t="s">
        <v>217</v>
      </c>
      <c r="D111" s="142">
        <v>3.48</v>
      </c>
      <c r="E111" s="84" t="s">
        <v>219</v>
      </c>
      <c r="F111" s="187"/>
      <c r="G111" s="184"/>
      <c r="H111" s="185"/>
      <c r="I111" s="186"/>
      <c r="J111" s="186"/>
      <c r="K111" s="160"/>
    </row>
    <row r="112" spans="1:11" customFormat="1" ht="25.5" outlineLevel="1" x14ac:dyDescent="0.25">
      <c r="A112" s="135"/>
      <c r="B112" s="84" t="s">
        <v>220</v>
      </c>
      <c r="C112" s="126" t="s">
        <v>10</v>
      </c>
      <c r="D112" s="142">
        <v>24</v>
      </c>
      <c r="E112" s="84"/>
      <c r="F112" s="187"/>
      <c r="G112" s="184"/>
      <c r="H112" s="185"/>
      <c r="I112" s="186"/>
      <c r="J112" s="186"/>
      <c r="K112" s="160"/>
    </row>
    <row r="113" spans="1:11" customFormat="1" ht="15" outlineLevel="1" x14ac:dyDescent="0.25">
      <c r="A113" s="135"/>
      <c r="B113" s="84" t="s">
        <v>216</v>
      </c>
      <c r="C113" s="126" t="s">
        <v>217</v>
      </c>
      <c r="D113" s="142">
        <v>1.183E-2</v>
      </c>
      <c r="E113" s="84"/>
      <c r="F113" s="187"/>
      <c r="G113" s="184"/>
      <c r="H113" s="185"/>
      <c r="I113" s="186"/>
      <c r="J113" s="186"/>
      <c r="K113" s="160"/>
    </row>
    <row r="114" spans="1:11" customFormat="1" ht="15" outlineLevel="1" x14ac:dyDescent="0.25">
      <c r="A114" s="135"/>
      <c r="B114" s="84" t="s">
        <v>221</v>
      </c>
      <c r="C114" s="126" t="s">
        <v>217</v>
      </c>
      <c r="D114" s="142">
        <v>2.3199999999999998</v>
      </c>
      <c r="E114" s="84" t="s">
        <v>222</v>
      </c>
      <c r="F114" s="187"/>
      <c r="G114" s="184"/>
      <c r="H114" s="185"/>
      <c r="I114" s="186"/>
      <c r="J114" s="186"/>
      <c r="K114" s="160"/>
    </row>
    <row r="115" spans="1:11" s="22" customFormat="1" ht="13.5" x14ac:dyDescent="0.25">
      <c r="A115" s="30" t="s">
        <v>106</v>
      </c>
      <c r="B115" s="33" t="s">
        <v>267</v>
      </c>
      <c r="C115" s="40"/>
      <c r="D115" s="41"/>
      <c r="E115" s="41"/>
      <c r="F115" s="188"/>
      <c r="G115" s="188"/>
      <c r="H115" s="188"/>
      <c r="I115" s="188"/>
      <c r="J115" s="188">
        <f>SUM(J116:J172)</f>
        <v>5486172.6239999989</v>
      </c>
      <c r="K115" s="42"/>
    </row>
    <row r="116" spans="1:11" s="100" customFormat="1" x14ac:dyDescent="0.25">
      <c r="A116" s="35">
        <v>1</v>
      </c>
      <c r="B116" s="113" t="s">
        <v>262</v>
      </c>
      <c r="C116" s="35" t="s">
        <v>0</v>
      </c>
      <c r="D116" s="155">
        <f>D117*0.06</f>
        <v>4.1640000000000006</v>
      </c>
      <c r="E116" s="115"/>
      <c r="F116" s="195"/>
      <c r="G116" s="179">
        <f>I116/D116</f>
        <v>3324.9481268011518</v>
      </c>
      <c r="H116" s="179"/>
      <c r="I116" s="179">
        <f>11537.57*1.2</f>
        <v>13845.083999999999</v>
      </c>
      <c r="J116" s="179">
        <f t="shared" ref="J116:J144" si="2">H116+I116</f>
        <v>13845.083999999999</v>
      </c>
      <c r="K116" s="200"/>
    </row>
    <row r="117" spans="1:11" s="100" customFormat="1" outlineLevel="1" x14ac:dyDescent="0.25">
      <c r="A117" s="74"/>
      <c r="B117" s="36" t="s">
        <v>236</v>
      </c>
      <c r="C117" s="116" t="s">
        <v>10</v>
      </c>
      <c r="D117" s="106">
        <v>69.400000000000006</v>
      </c>
      <c r="E117" s="106"/>
      <c r="F117" s="193"/>
      <c r="G117" s="182"/>
      <c r="H117" s="182"/>
      <c r="I117" s="182"/>
      <c r="J117" s="179">
        <f t="shared" si="2"/>
        <v>0</v>
      </c>
      <c r="K117" s="99"/>
    </row>
    <row r="118" spans="1:11" s="100" customFormat="1" outlineLevel="1" x14ac:dyDescent="0.25">
      <c r="A118" s="74"/>
      <c r="B118" s="91" t="s">
        <v>175</v>
      </c>
      <c r="C118" s="86" t="s">
        <v>22</v>
      </c>
      <c r="D118" s="117">
        <f>D117*0.06*1.9</f>
        <v>7.9116000000000009</v>
      </c>
      <c r="E118" s="117" t="s">
        <v>237</v>
      </c>
      <c r="F118" s="193"/>
      <c r="G118" s="182"/>
      <c r="H118" s="182"/>
      <c r="I118" s="182"/>
      <c r="J118" s="179">
        <f t="shared" si="2"/>
        <v>0</v>
      </c>
      <c r="K118" s="99"/>
    </row>
    <row r="119" spans="1:11" s="100" customFormat="1" outlineLevel="1" x14ac:dyDescent="0.25">
      <c r="A119" s="74"/>
      <c r="B119" s="91" t="s">
        <v>176</v>
      </c>
      <c r="C119" s="86" t="s">
        <v>22</v>
      </c>
      <c r="D119" s="117">
        <f>D118</f>
        <v>7.9116000000000009</v>
      </c>
      <c r="E119" s="117"/>
      <c r="F119" s="193"/>
      <c r="G119" s="182"/>
      <c r="H119" s="182"/>
      <c r="I119" s="182"/>
      <c r="J119" s="179">
        <f t="shared" si="2"/>
        <v>0</v>
      </c>
      <c r="K119" s="99"/>
    </row>
    <row r="120" spans="1:11" ht="13.5" x14ac:dyDescent="0.25">
      <c r="A120" s="136" t="s">
        <v>17</v>
      </c>
      <c r="B120" s="109" t="s">
        <v>261</v>
      </c>
      <c r="C120" s="118" t="s">
        <v>0</v>
      </c>
      <c r="D120" s="168">
        <f>SUM(D121:D123)</f>
        <v>296.61999999999995</v>
      </c>
      <c r="E120" s="76"/>
      <c r="F120" s="182"/>
      <c r="G120" s="182">
        <f>I120/D120</f>
        <v>1155.238527408806</v>
      </c>
      <c r="H120" s="182"/>
      <c r="I120" s="182">
        <f>285555.71*1.2</f>
        <v>342666.85200000001</v>
      </c>
      <c r="J120" s="179">
        <f t="shared" si="2"/>
        <v>342666.85200000001</v>
      </c>
      <c r="K120" s="77"/>
    </row>
    <row r="121" spans="1:11" ht="13.5" outlineLevel="1" x14ac:dyDescent="0.25">
      <c r="A121" s="136"/>
      <c r="B121" s="36" t="s">
        <v>248</v>
      </c>
      <c r="C121" s="3" t="s">
        <v>0</v>
      </c>
      <c r="D121" s="110">
        <v>18.75</v>
      </c>
      <c r="E121" s="76"/>
      <c r="F121" s="182"/>
      <c r="G121" s="182"/>
      <c r="H121" s="182"/>
      <c r="I121" s="182"/>
      <c r="J121" s="179">
        <f t="shared" si="2"/>
        <v>0</v>
      </c>
      <c r="K121" s="77"/>
    </row>
    <row r="122" spans="1:11" ht="13.5" outlineLevel="1" x14ac:dyDescent="0.25">
      <c r="A122" s="137"/>
      <c r="B122" s="83" t="s">
        <v>260</v>
      </c>
      <c r="C122" s="3" t="s">
        <v>0</v>
      </c>
      <c r="D122" s="110">
        <f>(296.67-18.8)*0.9</f>
        <v>250.083</v>
      </c>
      <c r="E122" s="144" t="s">
        <v>238</v>
      </c>
      <c r="F122" s="182"/>
      <c r="G122" s="182"/>
      <c r="H122" s="182"/>
      <c r="I122" s="182"/>
      <c r="J122" s="179">
        <f t="shared" si="2"/>
        <v>0</v>
      </c>
      <c r="K122" s="77"/>
    </row>
    <row r="123" spans="1:11" ht="13.5" outlineLevel="1" x14ac:dyDescent="0.25">
      <c r="A123" s="137"/>
      <c r="B123" s="83" t="s">
        <v>247</v>
      </c>
      <c r="C123" s="3" t="s">
        <v>0</v>
      </c>
      <c r="D123" s="110">
        <f>(296.67-18.8)*0.1</f>
        <v>27.787000000000003</v>
      </c>
      <c r="E123" s="76"/>
      <c r="F123" s="182"/>
      <c r="G123" s="182"/>
      <c r="H123" s="182"/>
      <c r="I123" s="182"/>
      <c r="J123" s="179">
        <f t="shared" si="2"/>
        <v>0</v>
      </c>
      <c r="K123" s="77"/>
    </row>
    <row r="124" spans="1:11" ht="13.5" outlineLevel="1" x14ac:dyDescent="0.25">
      <c r="A124" s="137"/>
      <c r="B124" s="83" t="s">
        <v>186</v>
      </c>
      <c r="C124" s="3" t="s">
        <v>22</v>
      </c>
      <c r="D124" s="110">
        <f>(D122+D123)*1.65</f>
        <v>458.4855</v>
      </c>
      <c r="E124" s="110"/>
      <c r="F124" s="182"/>
      <c r="G124" s="182"/>
      <c r="H124" s="182"/>
      <c r="I124" s="182"/>
      <c r="J124" s="179">
        <f t="shared" si="2"/>
        <v>0</v>
      </c>
      <c r="K124" s="77"/>
    </row>
    <row r="125" spans="1:11" ht="13.5" outlineLevel="1" x14ac:dyDescent="0.25">
      <c r="A125" s="137"/>
      <c r="B125" s="83" t="s">
        <v>270</v>
      </c>
      <c r="C125" s="3" t="s">
        <v>22</v>
      </c>
      <c r="D125" s="110">
        <f>D124</f>
        <v>458.4855</v>
      </c>
      <c r="E125" s="110"/>
      <c r="F125" s="182"/>
      <c r="G125" s="182"/>
      <c r="H125" s="182"/>
      <c r="I125" s="182"/>
      <c r="J125" s="179">
        <f t="shared" si="2"/>
        <v>0</v>
      </c>
      <c r="K125" s="77"/>
    </row>
    <row r="126" spans="1:11" ht="13.5" outlineLevel="1" x14ac:dyDescent="0.25">
      <c r="A126" s="137"/>
      <c r="B126" s="83" t="s">
        <v>246</v>
      </c>
      <c r="C126" s="3" t="s">
        <v>0</v>
      </c>
      <c r="D126" s="110">
        <f>(D123+D122-24.3)-5</f>
        <v>248.57</v>
      </c>
      <c r="E126" s="110"/>
      <c r="F126" s="182"/>
      <c r="G126" s="182"/>
      <c r="H126" s="182"/>
      <c r="I126" s="182"/>
      <c r="J126" s="179">
        <f t="shared" si="2"/>
        <v>0</v>
      </c>
      <c r="K126" s="77"/>
    </row>
    <row r="127" spans="1:11" ht="13.5" outlineLevel="1" x14ac:dyDescent="0.25">
      <c r="A127" s="137"/>
      <c r="B127" s="83" t="s">
        <v>249</v>
      </c>
      <c r="C127" s="3" t="s">
        <v>0</v>
      </c>
      <c r="D127" s="110">
        <v>5</v>
      </c>
      <c r="E127" s="110"/>
      <c r="F127" s="182"/>
      <c r="G127" s="182"/>
      <c r="H127" s="182"/>
      <c r="I127" s="182"/>
      <c r="J127" s="179">
        <f t="shared" si="2"/>
        <v>0</v>
      </c>
      <c r="K127" s="77"/>
    </row>
    <row r="128" spans="1:11" ht="13.5" outlineLevel="1" x14ac:dyDescent="0.25">
      <c r="A128" s="137"/>
      <c r="B128" s="111" t="s">
        <v>212</v>
      </c>
      <c r="C128" s="49" t="s">
        <v>0</v>
      </c>
      <c r="D128" s="112">
        <f>(D126+D127)*1.1</f>
        <v>278.92700000000002</v>
      </c>
      <c r="E128" s="110"/>
      <c r="F128" s="182"/>
      <c r="G128" s="182"/>
      <c r="H128" s="182"/>
      <c r="I128" s="182"/>
      <c r="J128" s="179">
        <f t="shared" si="2"/>
        <v>0</v>
      </c>
      <c r="K128" s="77"/>
    </row>
    <row r="129" spans="1:11" ht="13.5" outlineLevel="1" x14ac:dyDescent="0.25">
      <c r="A129" s="137"/>
      <c r="B129" s="83" t="s">
        <v>271</v>
      </c>
      <c r="C129" s="3" t="s">
        <v>0</v>
      </c>
      <c r="D129" s="110">
        <f>D126+D127</f>
        <v>253.57</v>
      </c>
      <c r="E129" s="110"/>
      <c r="F129" s="182"/>
      <c r="G129" s="182"/>
      <c r="H129" s="182"/>
      <c r="I129" s="182"/>
      <c r="J129" s="179">
        <f t="shared" si="2"/>
        <v>0</v>
      </c>
      <c r="K129" s="77"/>
    </row>
    <row r="130" spans="1:11" ht="13.5" x14ac:dyDescent="0.25">
      <c r="A130" s="136" t="s">
        <v>179</v>
      </c>
      <c r="B130" s="109" t="s">
        <v>177</v>
      </c>
      <c r="C130" s="118" t="s">
        <v>28</v>
      </c>
      <c r="D130" s="169">
        <v>9</v>
      </c>
      <c r="E130" s="119"/>
      <c r="F130" s="182">
        <f>H130/D130</f>
        <v>53012.742666666665</v>
      </c>
      <c r="G130" s="182">
        <f>I130/D130</f>
        <v>23378.682666666649</v>
      </c>
      <c r="H130" s="182">
        <f>397595.57*1.2</f>
        <v>477114.68400000001</v>
      </c>
      <c r="I130" s="182">
        <f>572935.69*1.2-H130</f>
        <v>210408.14399999985</v>
      </c>
      <c r="J130" s="179">
        <f t="shared" si="2"/>
        <v>687522.82799999986</v>
      </c>
      <c r="K130" s="77"/>
    </row>
    <row r="131" spans="1:11" ht="13.5" outlineLevel="1" x14ac:dyDescent="0.25">
      <c r="A131" s="137"/>
      <c r="B131" s="83" t="s">
        <v>160</v>
      </c>
      <c r="C131" s="3" t="s">
        <v>0</v>
      </c>
      <c r="D131" s="110">
        <v>13.96</v>
      </c>
      <c r="E131" s="110"/>
      <c r="F131" s="182"/>
      <c r="G131" s="182"/>
      <c r="H131" s="182"/>
      <c r="I131" s="182"/>
      <c r="J131" s="179">
        <f t="shared" si="2"/>
        <v>0</v>
      </c>
      <c r="K131" s="77"/>
    </row>
    <row r="132" spans="1:11" s="100" customFormat="1" outlineLevel="1" x14ac:dyDescent="0.25">
      <c r="A132" s="74"/>
      <c r="B132" s="93" t="s">
        <v>161</v>
      </c>
      <c r="C132" s="94" t="s">
        <v>0</v>
      </c>
      <c r="D132" s="101">
        <f>0.38*9</f>
        <v>3.42</v>
      </c>
      <c r="E132" s="101"/>
      <c r="F132" s="193"/>
      <c r="G132" s="182"/>
      <c r="H132" s="182"/>
      <c r="I132" s="182"/>
      <c r="J132" s="179">
        <f t="shared" si="2"/>
        <v>0</v>
      </c>
      <c r="K132" s="99"/>
    </row>
    <row r="133" spans="1:11" s="100" customFormat="1" outlineLevel="1" x14ac:dyDescent="0.25">
      <c r="A133" s="74"/>
      <c r="B133" s="93" t="s">
        <v>162</v>
      </c>
      <c r="C133" s="94" t="s">
        <v>0</v>
      </c>
      <c r="D133" s="101">
        <f>23*0.4</f>
        <v>9.2000000000000011</v>
      </c>
      <c r="E133" s="101"/>
      <c r="F133" s="193"/>
      <c r="G133" s="182"/>
      <c r="H133" s="182"/>
      <c r="I133" s="182"/>
      <c r="J133" s="179">
        <f t="shared" si="2"/>
        <v>0</v>
      </c>
      <c r="K133" s="99"/>
    </row>
    <row r="134" spans="1:11" s="100" customFormat="1" outlineLevel="1" x14ac:dyDescent="0.25">
      <c r="A134" s="74"/>
      <c r="B134" s="93" t="s">
        <v>163</v>
      </c>
      <c r="C134" s="94" t="s">
        <v>0</v>
      </c>
      <c r="D134" s="101">
        <f>0.27*3</f>
        <v>0.81</v>
      </c>
      <c r="E134" s="101"/>
      <c r="F134" s="193"/>
      <c r="G134" s="182"/>
      <c r="H134" s="182"/>
      <c r="I134" s="182"/>
      <c r="J134" s="179">
        <f t="shared" si="2"/>
        <v>0</v>
      </c>
      <c r="K134" s="99"/>
    </row>
    <row r="135" spans="1:11" s="100" customFormat="1" outlineLevel="1" x14ac:dyDescent="0.25">
      <c r="A135" s="74"/>
      <c r="B135" s="93" t="s">
        <v>164</v>
      </c>
      <c r="C135" s="94" t="s">
        <v>0</v>
      </c>
      <c r="D135" s="101">
        <f>0.05*7</f>
        <v>0.35000000000000003</v>
      </c>
      <c r="E135" s="101"/>
      <c r="F135" s="193"/>
      <c r="G135" s="182"/>
      <c r="H135" s="182"/>
      <c r="I135" s="182"/>
      <c r="J135" s="179">
        <f t="shared" si="2"/>
        <v>0</v>
      </c>
      <c r="K135" s="99"/>
    </row>
    <row r="136" spans="1:11" s="100" customFormat="1" outlineLevel="1" x14ac:dyDescent="0.25">
      <c r="A136" s="74"/>
      <c r="B136" s="93" t="s">
        <v>165</v>
      </c>
      <c r="C136" s="94" t="s">
        <v>0</v>
      </c>
      <c r="D136" s="101">
        <f>0.02*9</f>
        <v>0.18</v>
      </c>
      <c r="E136" s="101"/>
      <c r="F136" s="193"/>
      <c r="G136" s="182"/>
      <c r="H136" s="182"/>
      <c r="I136" s="182"/>
      <c r="J136" s="179">
        <f t="shared" si="2"/>
        <v>0</v>
      </c>
      <c r="K136" s="99"/>
    </row>
    <row r="137" spans="1:11" s="100" customFormat="1" outlineLevel="1" x14ac:dyDescent="0.25">
      <c r="A137" s="74"/>
      <c r="B137" s="93" t="s">
        <v>121</v>
      </c>
      <c r="C137" s="94" t="s">
        <v>28</v>
      </c>
      <c r="D137" s="101">
        <v>9</v>
      </c>
      <c r="E137" s="101"/>
      <c r="F137" s="193"/>
      <c r="G137" s="182"/>
      <c r="H137" s="182"/>
      <c r="I137" s="182"/>
      <c r="J137" s="179">
        <f t="shared" si="2"/>
        <v>0</v>
      </c>
      <c r="K137" s="99"/>
    </row>
    <row r="138" spans="1:11" s="100" customFormat="1" outlineLevel="1" x14ac:dyDescent="0.25">
      <c r="A138" s="74"/>
      <c r="B138" s="93" t="s">
        <v>166</v>
      </c>
      <c r="C138" s="94" t="s">
        <v>28</v>
      </c>
      <c r="D138" s="101">
        <v>2</v>
      </c>
      <c r="E138" s="101"/>
      <c r="F138" s="193"/>
      <c r="G138" s="182"/>
      <c r="H138" s="182"/>
      <c r="I138" s="182"/>
      <c r="J138" s="179">
        <f t="shared" si="2"/>
        <v>0</v>
      </c>
      <c r="K138" s="99"/>
    </row>
    <row r="139" spans="1:11" ht="13.5" outlineLevel="1" x14ac:dyDescent="0.25">
      <c r="A139" s="137"/>
      <c r="B139" s="93" t="s">
        <v>57</v>
      </c>
      <c r="C139" s="94" t="s">
        <v>28</v>
      </c>
      <c r="D139" s="112">
        <v>7</v>
      </c>
      <c r="E139" s="112"/>
      <c r="F139" s="182"/>
      <c r="G139" s="182"/>
      <c r="H139" s="182"/>
      <c r="I139" s="182"/>
      <c r="J139" s="179">
        <f t="shared" si="2"/>
        <v>0</v>
      </c>
      <c r="K139" s="77"/>
    </row>
    <row r="140" spans="1:11" ht="13.5" outlineLevel="1" x14ac:dyDescent="0.25">
      <c r="A140" s="137"/>
      <c r="B140" s="111" t="s">
        <v>39</v>
      </c>
      <c r="C140" s="49" t="s">
        <v>28</v>
      </c>
      <c r="D140" s="112">
        <v>11</v>
      </c>
      <c r="E140" s="112"/>
      <c r="F140" s="182"/>
      <c r="G140" s="182"/>
      <c r="H140" s="182"/>
      <c r="I140" s="182"/>
      <c r="J140" s="179">
        <f t="shared" si="2"/>
        <v>0</v>
      </c>
      <c r="K140" s="77"/>
    </row>
    <row r="141" spans="1:11" ht="13.5" outlineLevel="1" x14ac:dyDescent="0.25">
      <c r="A141" s="137"/>
      <c r="B141" s="111" t="s">
        <v>40</v>
      </c>
      <c r="C141" s="49" t="s">
        <v>28</v>
      </c>
      <c r="D141" s="112">
        <v>11</v>
      </c>
      <c r="E141" s="112"/>
      <c r="F141" s="182"/>
      <c r="G141" s="182"/>
      <c r="H141" s="182"/>
      <c r="I141" s="182"/>
      <c r="J141" s="179">
        <f t="shared" si="2"/>
        <v>0</v>
      </c>
      <c r="K141" s="77"/>
    </row>
    <row r="142" spans="1:11" ht="13.5" outlineLevel="1" x14ac:dyDescent="0.25">
      <c r="A142" s="137"/>
      <c r="B142" s="83" t="s">
        <v>35</v>
      </c>
      <c r="C142" s="55" t="s">
        <v>10</v>
      </c>
      <c r="D142" s="110">
        <f>24.3*4.71</f>
        <v>114.453</v>
      </c>
      <c r="E142" s="110"/>
      <c r="F142" s="182"/>
      <c r="G142" s="182"/>
      <c r="H142" s="182"/>
      <c r="I142" s="182"/>
      <c r="J142" s="179">
        <f t="shared" si="2"/>
        <v>0</v>
      </c>
      <c r="K142" s="77"/>
    </row>
    <row r="143" spans="1:11" ht="13.5" outlineLevel="1" x14ac:dyDescent="0.25">
      <c r="A143" s="137"/>
      <c r="B143" s="111" t="s">
        <v>37</v>
      </c>
      <c r="C143" s="49" t="s">
        <v>29</v>
      </c>
      <c r="D143" s="112">
        <f>D142*0.3*2</f>
        <v>68.671800000000005</v>
      </c>
      <c r="E143" s="112"/>
      <c r="F143" s="182"/>
      <c r="G143" s="182"/>
      <c r="H143" s="182"/>
      <c r="I143" s="182"/>
      <c r="J143" s="179">
        <f t="shared" si="2"/>
        <v>0</v>
      </c>
      <c r="K143" s="77"/>
    </row>
    <row r="144" spans="1:11" ht="13.5" x14ac:dyDescent="0.25">
      <c r="A144" s="136" t="s">
        <v>64</v>
      </c>
      <c r="B144" s="109" t="s">
        <v>167</v>
      </c>
      <c r="C144" s="150" t="s">
        <v>263</v>
      </c>
      <c r="D144" s="152">
        <f>D145+D153+D160</f>
        <v>139</v>
      </c>
      <c r="E144" s="68"/>
      <c r="F144" s="182">
        <f>H144/D144</f>
        <v>18859.64201438849</v>
      </c>
      <c r="G144" s="182">
        <f>I144/D144</f>
        <v>12155.464920863302</v>
      </c>
      <c r="H144" s="182">
        <f>(1489511.05+695064.15)*1.2</f>
        <v>2621490.2400000002</v>
      </c>
      <c r="I144" s="182">
        <f>(723424.01+2869159.21)*1.2-H144</f>
        <v>1689609.6239999989</v>
      </c>
      <c r="J144" s="179">
        <f t="shared" si="2"/>
        <v>4311099.8639999991</v>
      </c>
      <c r="K144" s="77"/>
    </row>
    <row r="145" spans="1:11" ht="25.5" outlineLevel="1" x14ac:dyDescent="0.25">
      <c r="A145" s="136" t="s">
        <v>253</v>
      </c>
      <c r="B145" s="132" t="s">
        <v>172</v>
      </c>
      <c r="C145" s="150" t="s">
        <v>30</v>
      </c>
      <c r="D145" s="152">
        <v>54</v>
      </c>
      <c r="E145" s="68"/>
      <c r="F145" s="182"/>
      <c r="G145" s="182"/>
      <c r="H145" s="182"/>
      <c r="I145" s="182"/>
      <c r="J145" s="179">
        <f t="shared" ref="J145:J172" si="3">H145+I145</f>
        <v>0</v>
      </c>
      <c r="K145" s="77"/>
    </row>
    <row r="146" spans="1:11" ht="13.5" outlineLevel="1" x14ac:dyDescent="0.25">
      <c r="A146" s="137"/>
      <c r="B146" s="83" t="s">
        <v>168</v>
      </c>
      <c r="C146" s="71" t="s">
        <v>0</v>
      </c>
      <c r="D146" s="68">
        <v>6.5</v>
      </c>
      <c r="E146" s="68"/>
      <c r="F146" s="182"/>
      <c r="G146" s="182"/>
      <c r="H146" s="182"/>
      <c r="I146" s="182"/>
      <c r="J146" s="179">
        <f t="shared" si="3"/>
        <v>0</v>
      </c>
      <c r="K146" s="77"/>
    </row>
    <row r="147" spans="1:11" ht="13.5" outlineLevel="1" x14ac:dyDescent="0.25">
      <c r="A147" s="137"/>
      <c r="B147" s="83" t="s">
        <v>169</v>
      </c>
      <c r="C147" s="71" t="s">
        <v>0</v>
      </c>
      <c r="D147" s="68">
        <v>6.5</v>
      </c>
      <c r="E147" s="68"/>
      <c r="F147" s="182"/>
      <c r="G147" s="182"/>
      <c r="H147" s="182"/>
      <c r="I147" s="182"/>
      <c r="J147" s="179">
        <f t="shared" si="3"/>
        <v>0</v>
      </c>
      <c r="K147" s="77"/>
    </row>
    <row r="148" spans="1:11" ht="13.5" outlineLevel="1" x14ac:dyDescent="0.25">
      <c r="A148" s="137"/>
      <c r="B148" s="83" t="s">
        <v>170</v>
      </c>
      <c r="C148" s="71" t="s">
        <v>0</v>
      </c>
      <c r="D148" s="68">
        <v>6.5</v>
      </c>
      <c r="E148" s="68"/>
      <c r="F148" s="182"/>
      <c r="G148" s="182"/>
      <c r="H148" s="182"/>
      <c r="I148" s="182"/>
      <c r="J148" s="179">
        <f t="shared" si="3"/>
        <v>0</v>
      </c>
      <c r="K148" s="77"/>
    </row>
    <row r="149" spans="1:11" ht="13.5" outlineLevel="1" x14ac:dyDescent="0.25">
      <c r="A149" s="137"/>
      <c r="B149" s="83" t="s">
        <v>171</v>
      </c>
      <c r="C149" s="71" t="s">
        <v>28</v>
      </c>
      <c r="D149" s="68">
        <v>1</v>
      </c>
      <c r="E149" s="68"/>
      <c r="F149" s="182"/>
      <c r="G149" s="182"/>
      <c r="H149" s="182"/>
      <c r="I149" s="182"/>
      <c r="J149" s="179">
        <f t="shared" si="3"/>
        <v>0</v>
      </c>
      <c r="K149" s="77"/>
    </row>
    <row r="150" spans="1:11" ht="13.5" outlineLevel="1" x14ac:dyDescent="0.25">
      <c r="A150" s="137"/>
      <c r="B150" s="83" t="s">
        <v>181</v>
      </c>
      <c r="C150" s="71" t="s">
        <v>25</v>
      </c>
      <c r="D150" s="68">
        <v>56</v>
      </c>
      <c r="E150" s="68"/>
      <c r="F150" s="182"/>
      <c r="G150" s="182"/>
      <c r="H150" s="182"/>
      <c r="I150" s="182"/>
      <c r="J150" s="179">
        <f t="shared" si="3"/>
        <v>0</v>
      </c>
      <c r="K150" s="77"/>
    </row>
    <row r="151" spans="1:11" ht="13.5" outlineLevel="1" x14ac:dyDescent="0.25">
      <c r="A151" s="137"/>
      <c r="B151" s="111" t="s">
        <v>173</v>
      </c>
      <c r="C151" s="56" t="s">
        <v>25</v>
      </c>
      <c r="D151" s="57">
        <v>56</v>
      </c>
      <c r="E151" s="57"/>
      <c r="F151" s="182"/>
      <c r="G151" s="182"/>
      <c r="H151" s="182"/>
      <c r="I151" s="182"/>
      <c r="J151" s="179">
        <f t="shared" si="3"/>
        <v>0</v>
      </c>
      <c r="K151" s="77"/>
    </row>
    <row r="152" spans="1:11" ht="13.5" outlineLevel="1" x14ac:dyDescent="0.25">
      <c r="A152" s="137"/>
      <c r="B152" s="111" t="s">
        <v>174</v>
      </c>
      <c r="C152" s="56" t="s">
        <v>25</v>
      </c>
      <c r="D152" s="138">
        <v>58</v>
      </c>
      <c r="E152" s="138"/>
      <c r="F152" s="182"/>
      <c r="G152" s="182"/>
      <c r="H152" s="182"/>
      <c r="I152" s="182"/>
      <c r="J152" s="179">
        <f t="shared" si="3"/>
        <v>0</v>
      </c>
      <c r="K152" s="77"/>
    </row>
    <row r="153" spans="1:11" ht="13.5" outlineLevel="1" x14ac:dyDescent="0.25">
      <c r="A153" s="136" t="s">
        <v>254</v>
      </c>
      <c r="B153" s="132" t="s">
        <v>185</v>
      </c>
      <c r="C153" s="150" t="s">
        <v>30</v>
      </c>
      <c r="D153" s="152">
        <v>60</v>
      </c>
      <c r="E153" s="68"/>
      <c r="F153" s="182"/>
      <c r="G153" s="182"/>
      <c r="H153" s="182"/>
      <c r="I153" s="182"/>
      <c r="J153" s="179">
        <f t="shared" si="3"/>
        <v>0</v>
      </c>
      <c r="K153" s="77"/>
    </row>
    <row r="154" spans="1:11" ht="13.5" outlineLevel="1" x14ac:dyDescent="0.25">
      <c r="A154" s="137"/>
      <c r="B154" s="83" t="s">
        <v>168</v>
      </c>
      <c r="C154" s="71" t="s">
        <v>0</v>
      </c>
      <c r="D154" s="68">
        <v>6.5</v>
      </c>
      <c r="E154" s="68"/>
      <c r="F154" s="182"/>
      <c r="G154" s="182"/>
      <c r="H154" s="182"/>
      <c r="I154" s="182"/>
      <c r="J154" s="179">
        <f t="shared" si="3"/>
        <v>0</v>
      </c>
      <c r="K154" s="77"/>
    </row>
    <row r="155" spans="1:11" ht="13.5" outlineLevel="1" x14ac:dyDescent="0.25">
      <c r="A155" s="137"/>
      <c r="B155" s="83" t="s">
        <v>169</v>
      </c>
      <c r="C155" s="3" t="s">
        <v>0</v>
      </c>
      <c r="D155" s="76">
        <v>6.5</v>
      </c>
      <c r="E155" s="76"/>
      <c r="F155" s="182"/>
      <c r="G155" s="182"/>
      <c r="H155" s="182"/>
      <c r="I155" s="182"/>
      <c r="J155" s="179">
        <f t="shared" si="3"/>
        <v>0</v>
      </c>
      <c r="K155" s="77"/>
    </row>
    <row r="156" spans="1:11" ht="13.5" outlineLevel="1" x14ac:dyDescent="0.25">
      <c r="A156" s="137"/>
      <c r="B156" s="83" t="s">
        <v>170</v>
      </c>
      <c r="C156" s="3" t="s">
        <v>0</v>
      </c>
      <c r="D156" s="76">
        <v>6.5</v>
      </c>
      <c r="E156" s="76"/>
      <c r="F156" s="182"/>
      <c r="G156" s="182"/>
      <c r="H156" s="182"/>
      <c r="I156" s="182"/>
      <c r="J156" s="179">
        <f t="shared" si="3"/>
        <v>0</v>
      </c>
      <c r="K156" s="77"/>
    </row>
    <row r="157" spans="1:11" ht="13.5" outlineLevel="1" x14ac:dyDescent="0.25">
      <c r="A157" s="137"/>
      <c r="B157" s="83" t="s">
        <v>171</v>
      </c>
      <c r="C157" s="3" t="s">
        <v>28</v>
      </c>
      <c r="D157" s="76">
        <v>1</v>
      </c>
      <c r="E157" s="76"/>
      <c r="F157" s="182"/>
      <c r="G157" s="182"/>
      <c r="H157" s="182"/>
      <c r="I157" s="182"/>
      <c r="J157" s="179">
        <f t="shared" si="3"/>
        <v>0</v>
      </c>
      <c r="K157" s="77"/>
    </row>
    <row r="158" spans="1:11" ht="13.5" outlineLevel="1" x14ac:dyDescent="0.25">
      <c r="A158" s="137"/>
      <c r="B158" s="83" t="s">
        <v>180</v>
      </c>
      <c r="C158" s="3" t="s">
        <v>25</v>
      </c>
      <c r="D158" s="76">
        <v>61</v>
      </c>
      <c r="E158" s="76"/>
      <c r="F158" s="182"/>
      <c r="G158" s="182"/>
      <c r="H158" s="182"/>
      <c r="I158" s="182"/>
      <c r="J158" s="179">
        <f t="shared" si="3"/>
        <v>0</v>
      </c>
      <c r="K158" s="77"/>
    </row>
    <row r="159" spans="1:11" ht="13.5" outlineLevel="1" x14ac:dyDescent="0.25">
      <c r="A159" s="137"/>
      <c r="B159" s="111" t="s">
        <v>174</v>
      </c>
      <c r="C159" s="49" t="s">
        <v>25</v>
      </c>
      <c r="D159" s="112">
        <v>63</v>
      </c>
      <c r="E159" s="112"/>
      <c r="F159" s="182"/>
      <c r="G159" s="182"/>
      <c r="H159" s="182"/>
      <c r="I159" s="182"/>
      <c r="J159" s="179">
        <f t="shared" si="3"/>
        <v>0</v>
      </c>
      <c r="K159" s="77"/>
    </row>
    <row r="160" spans="1:11" ht="27.75" customHeight="1" outlineLevel="1" x14ac:dyDescent="0.25">
      <c r="A160" s="136" t="s">
        <v>264</v>
      </c>
      <c r="B160" s="132" t="s">
        <v>182</v>
      </c>
      <c r="C160" s="118" t="s">
        <v>30</v>
      </c>
      <c r="D160" s="119">
        <f>D163+D165</f>
        <v>25</v>
      </c>
      <c r="E160" s="119"/>
      <c r="F160" s="182"/>
      <c r="G160" s="182"/>
      <c r="H160" s="182"/>
      <c r="I160" s="182"/>
      <c r="J160" s="179">
        <f t="shared" si="3"/>
        <v>0</v>
      </c>
      <c r="K160" s="77"/>
    </row>
    <row r="161" spans="1:11" ht="13.5" outlineLevel="1" x14ac:dyDescent="0.25">
      <c r="A161" s="136"/>
      <c r="B161" s="143" t="s">
        <v>168</v>
      </c>
      <c r="C161" s="3" t="s">
        <v>0</v>
      </c>
      <c r="D161" s="110">
        <v>25</v>
      </c>
      <c r="E161" s="119"/>
      <c r="F161" s="182"/>
      <c r="G161" s="182"/>
      <c r="H161" s="182"/>
      <c r="I161" s="182"/>
      <c r="J161" s="179">
        <f t="shared" si="3"/>
        <v>0</v>
      </c>
      <c r="K161" s="77"/>
    </row>
    <row r="162" spans="1:11" ht="13.5" outlineLevel="1" x14ac:dyDescent="0.25">
      <c r="A162" s="136"/>
      <c r="B162" s="143" t="s">
        <v>239</v>
      </c>
      <c r="C162" s="3" t="s">
        <v>0</v>
      </c>
      <c r="D162" s="110">
        <v>24.5</v>
      </c>
      <c r="E162" s="119"/>
      <c r="F162" s="182"/>
      <c r="G162" s="182"/>
      <c r="H162" s="182"/>
      <c r="I162" s="182"/>
      <c r="J162" s="179">
        <f t="shared" si="3"/>
        <v>0</v>
      </c>
      <c r="K162" s="77"/>
    </row>
    <row r="163" spans="1:11" ht="13.5" outlineLevel="1" x14ac:dyDescent="0.25">
      <c r="A163" s="137"/>
      <c r="B163" s="83" t="s">
        <v>178</v>
      </c>
      <c r="C163" s="3" t="s">
        <v>30</v>
      </c>
      <c r="D163" s="110">
        <v>16</v>
      </c>
      <c r="E163" s="110"/>
      <c r="F163" s="182"/>
      <c r="G163" s="182"/>
      <c r="H163" s="182"/>
      <c r="I163" s="182"/>
      <c r="J163" s="179">
        <f t="shared" si="3"/>
        <v>0</v>
      </c>
      <c r="K163" s="77"/>
    </row>
    <row r="164" spans="1:11" ht="13.5" outlineLevel="1" x14ac:dyDescent="0.25">
      <c r="A164" s="137"/>
      <c r="B164" s="111" t="s">
        <v>155</v>
      </c>
      <c r="C164" s="49" t="s">
        <v>30</v>
      </c>
      <c r="D164" s="112">
        <f>D163*1.1</f>
        <v>17.600000000000001</v>
      </c>
      <c r="E164" s="112"/>
      <c r="F164" s="182"/>
      <c r="G164" s="182"/>
      <c r="H164" s="182"/>
      <c r="I164" s="182"/>
      <c r="J164" s="179">
        <f t="shared" si="3"/>
        <v>0</v>
      </c>
      <c r="K164" s="77"/>
    </row>
    <row r="165" spans="1:11" ht="13.5" outlineLevel="1" x14ac:dyDescent="0.25">
      <c r="A165" s="137"/>
      <c r="B165" s="83" t="s">
        <v>184</v>
      </c>
      <c r="C165" s="3" t="s">
        <v>30</v>
      </c>
      <c r="D165" s="110">
        <v>9</v>
      </c>
      <c r="E165" s="110"/>
      <c r="F165" s="182"/>
      <c r="G165" s="182"/>
      <c r="H165" s="182"/>
      <c r="I165" s="182"/>
      <c r="J165" s="179">
        <f t="shared" si="3"/>
        <v>0</v>
      </c>
      <c r="K165" s="77"/>
    </row>
    <row r="166" spans="1:11" ht="13.5" outlineLevel="1" x14ac:dyDescent="0.25">
      <c r="A166" s="137"/>
      <c r="B166" s="111" t="s">
        <v>183</v>
      </c>
      <c r="C166" s="49" t="s">
        <v>30</v>
      </c>
      <c r="D166" s="112">
        <f>9*1.1</f>
        <v>9.9</v>
      </c>
      <c r="E166" s="112"/>
      <c r="F166" s="182"/>
      <c r="G166" s="182"/>
      <c r="H166" s="182"/>
      <c r="I166" s="182"/>
      <c r="J166" s="179">
        <f t="shared" si="3"/>
        <v>0</v>
      </c>
      <c r="K166" s="77"/>
    </row>
    <row r="167" spans="1:11" ht="13.5" outlineLevel="1" x14ac:dyDescent="0.25">
      <c r="A167" s="137"/>
      <c r="B167" s="111" t="s">
        <v>156</v>
      </c>
      <c r="C167" s="49" t="s">
        <v>28</v>
      </c>
      <c r="D167" s="112">
        <v>25</v>
      </c>
      <c r="E167" s="112"/>
      <c r="F167" s="182"/>
      <c r="G167" s="182"/>
      <c r="H167" s="182"/>
      <c r="I167" s="182"/>
      <c r="J167" s="179">
        <f t="shared" si="3"/>
        <v>0</v>
      </c>
      <c r="K167" s="77"/>
    </row>
    <row r="168" spans="1:11" ht="13.5" outlineLevel="1" x14ac:dyDescent="0.25">
      <c r="A168" s="137"/>
      <c r="B168" s="111" t="s">
        <v>157</v>
      </c>
      <c r="C168" s="49" t="s">
        <v>28</v>
      </c>
      <c r="D168" s="112">
        <v>14</v>
      </c>
      <c r="E168" s="112"/>
      <c r="F168" s="182"/>
      <c r="G168" s="182"/>
      <c r="H168" s="182"/>
      <c r="I168" s="182"/>
      <c r="J168" s="179">
        <f t="shared" si="3"/>
        <v>0</v>
      </c>
      <c r="K168" s="77"/>
    </row>
    <row r="169" spans="1:11" ht="13.5" outlineLevel="1" x14ac:dyDescent="0.25">
      <c r="A169" s="137"/>
      <c r="B169" s="111" t="s">
        <v>158</v>
      </c>
      <c r="C169" s="49" t="s">
        <v>28</v>
      </c>
      <c r="D169" s="112">
        <v>11</v>
      </c>
      <c r="E169" s="112"/>
      <c r="F169" s="182"/>
      <c r="G169" s="182"/>
      <c r="H169" s="182"/>
      <c r="I169" s="182"/>
      <c r="J169" s="179">
        <f t="shared" si="3"/>
        <v>0</v>
      </c>
      <c r="K169" s="77"/>
    </row>
    <row r="170" spans="1:11" ht="13.5" outlineLevel="1" x14ac:dyDescent="0.25">
      <c r="A170" s="137"/>
      <c r="B170" s="111" t="s">
        <v>159</v>
      </c>
      <c r="C170" s="49" t="s">
        <v>30</v>
      </c>
      <c r="D170" s="112">
        <v>3.03</v>
      </c>
      <c r="E170" s="112"/>
      <c r="F170" s="182"/>
      <c r="G170" s="182"/>
      <c r="H170" s="182"/>
      <c r="I170" s="182"/>
      <c r="J170" s="179">
        <f t="shared" si="3"/>
        <v>0</v>
      </c>
      <c r="K170" s="77"/>
    </row>
    <row r="171" spans="1:11" ht="13.5" outlineLevel="1" x14ac:dyDescent="0.25">
      <c r="A171" s="137"/>
      <c r="B171" s="83" t="s">
        <v>31</v>
      </c>
      <c r="C171" s="3" t="s">
        <v>25</v>
      </c>
      <c r="D171" s="110">
        <f>D160+D153+D145</f>
        <v>139</v>
      </c>
      <c r="E171" s="110"/>
      <c r="F171" s="182"/>
      <c r="G171" s="182"/>
      <c r="H171" s="182"/>
      <c r="I171" s="182"/>
      <c r="J171" s="179">
        <f t="shared" si="3"/>
        <v>0</v>
      </c>
      <c r="K171" s="77"/>
    </row>
    <row r="172" spans="1:11" ht="13.5" x14ac:dyDescent="0.25">
      <c r="A172" s="136" t="s">
        <v>229</v>
      </c>
      <c r="B172" s="109" t="s">
        <v>272</v>
      </c>
      <c r="C172" s="168" t="s">
        <v>263</v>
      </c>
      <c r="D172" s="168">
        <f>D173</f>
        <v>110</v>
      </c>
      <c r="E172" s="110"/>
      <c r="F172" s="182"/>
      <c r="G172" s="182">
        <f>I172/D172</f>
        <v>1191.2545090909091</v>
      </c>
      <c r="H172" s="182"/>
      <c r="I172" s="182">
        <f>109198.33*1.2</f>
        <v>131037.996</v>
      </c>
      <c r="J172" s="179">
        <f t="shared" si="3"/>
        <v>131037.996</v>
      </c>
      <c r="K172" s="77"/>
    </row>
    <row r="173" spans="1:11" ht="13.5" outlineLevel="1" x14ac:dyDescent="0.25">
      <c r="A173" s="136"/>
      <c r="B173" s="83" t="s">
        <v>273</v>
      </c>
      <c r="C173" s="76" t="s">
        <v>25</v>
      </c>
      <c r="D173" s="76">
        <v>110</v>
      </c>
      <c r="E173" s="110"/>
      <c r="F173" s="180"/>
      <c r="G173" s="180"/>
      <c r="H173" s="180"/>
      <c r="I173" s="180"/>
      <c r="J173" s="180"/>
      <c r="K173" s="77"/>
    </row>
    <row r="174" spans="1:11" ht="13.5" outlineLevel="1" x14ac:dyDescent="0.25">
      <c r="A174" s="136"/>
      <c r="B174" s="83" t="s">
        <v>274</v>
      </c>
      <c r="C174" s="3" t="s">
        <v>22</v>
      </c>
      <c r="D174" s="110">
        <f>D173*24.3/1000</f>
        <v>2.673</v>
      </c>
      <c r="E174" s="110"/>
      <c r="F174" s="180"/>
      <c r="G174" s="180"/>
      <c r="H174" s="180"/>
      <c r="I174" s="180"/>
      <c r="J174" s="180"/>
      <c r="K174" s="77"/>
    </row>
    <row r="175" spans="1:11" ht="13.5" outlineLevel="1" x14ac:dyDescent="0.25">
      <c r="A175" s="137"/>
      <c r="B175" s="83" t="s">
        <v>275</v>
      </c>
      <c r="C175" s="3" t="s">
        <v>22</v>
      </c>
      <c r="D175" s="110">
        <f>D173*24.3/1000</f>
        <v>2.673</v>
      </c>
      <c r="E175" s="110"/>
      <c r="F175" s="180"/>
      <c r="G175" s="180"/>
      <c r="H175" s="180"/>
      <c r="I175" s="180"/>
      <c r="J175" s="180"/>
      <c r="K175" s="77"/>
    </row>
    <row r="176" spans="1:11" ht="13.5" x14ac:dyDescent="0.25">
      <c r="A176" s="30" t="s">
        <v>104</v>
      </c>
      <c r="B176" s="33" t="s">
        <v>266</v>
      </c>
      <c r="C176" s="40"/>
      <c r="D176" s="41"/>
      <c r="E176" s="41"/>
      <c r="F176" s="196"/>
      <c r="G176" s="196"/>
      <c r="H176" s="196"/>
      <c r="I176" s="196"/>
      <c r="J176" s="196">
        <f>J177+J181+J190+J218+J291</f>
        <v>13162547.015999999</v>
      </c>
      <c r="K176" s="199"/>
    </row>
    <row r="177" spans="1:11" ht="13.5" x14ac:dyDescent="0.25">
      <c r="A177" s="35" t="s">
        <v>13</v>
      </c>
      <c r="B177" s="46" t="s">
        <v>38</v>
      </c>
      <c r="C177" s="150" t="s">
        <v>0</v>
      </c>
      <c r="D177" s="152">
        <f>D178*0.06</f>
        <v>10.02</v>
      </c>
      <c r="E177" s="57"/>
      <c r="F177" s="195"/>
      <c r="G177" s="179">
        <f>I177/D177</f>
        <v>3324.9233532934131</v>
      </c>
      <c r="H177" s="179"/>
      <c r="I177" s="179">
        <f>27763.11*1.2</f>
        <v>33315.731999999996</v>
      </c>
      <c r="J177" s="179">
        <f t="shared" ref="J177" si="4">H177+I177</f>
        <v>33315.731999999996</v>
      </c>
      <c r="K177" s="58"/>
    </row>
    <row r="178" spans="1:11" ht="13.5" outlineLevel="1" x14ac:dyDescent="0.25">
      <c r="A178" s="2" t="s">
        <v>14</v>
      </c>
      <c r="B178" s="36" t="s">
        <v>26</v>
      </c>
      <c r="C178" s="3" t="s">
        <v>10</v>
      </c>
      <c r="D178" s="37">
        <v>167</v>
      </c>
      <c r="E178" s="37"/>
      <c r="F178" s="193"/>
      <c r="G178" s="182"/>
      <c r="H178" s="182"/>
      <c r="I178" s="182"/>
      <c r="J178" s="179">
        <f t="shared" ref="J178:J191" si="5">H178+I178</f>
        <v>0</v>
      </c>
      <c r="K178" s="31"/>
    </row>
    <row r="179" spans="1:11" ht="13.5" outlineLevel="1" x14ac:dyDescent="0.2">
      <c r="A179" s="2" t="s">
        <v>15</v>
      </c>
      <c r="B179" s="34" t="s">
        <v>56</v>
      </c>
      <c r="C179" s="3" t="s">
        <v>22</v>
      </c>
      <c r="D179" s="39">
        <f>D178*0.06*1.9</f>
        <v>19.037999999999997</v>
      </c>
      <c r="E179" s="39"/>
      <c r="F179" s="193"/>
      <c r="G179" s="182"/>
      <c r="H179" s="182"/>
      <c r="I179" s="182"/>
      <c r="J179" s="179">
        <f t="shared" si="5"/>
        <v>0</v>
      </c>
      <c r="K179" s="31"/>
    </row>
    <row r="180" spans="1:11" ht="13.5" outlineLevel="1" x14ac:dyDescent="0.2">
      <c r="A180" s="60" t="s">
        <v>16</v>
      </c>
      <c r="B180" s="61" t="s">
        <v>23</v>
      </c>
      <c r="C180" s="62" t="s">
        <v>22</v>
      </c>
      <c r="D180" s="63">
        <f>D178*0.06*1.9</f>
        <v>19.037999999999997</v>
      </c>
      <c r="E180" s="63"/>
      <c r="F180" s="193"/>
      <c r="G180" s="182"/>
      <c r="H180" s="182"/>
      <c r="I180" s="182"/>
      <c r="J180" s="179">
        <f t="shared" si="5"/>
        <v>0</v>
      </c>
      <c r="K180" s="64"/>
    </row>
    <row r="181" spans="1:11" ht="13.5" x14ac:dyDescent="0.2">
      <c r="A181" s="43" t="s">
        <v>17</v>
      </c>
      <c r="B181" s="70" t="s">
        <v>265</v>
      </c>
      <c r="C181" s="118" t="s">
        <v>0</v>
      </c>
      <c r="D181" s="170">
        <f>SUM(D182:D183)</f>
        <v>495</v>
      </c>
      <c r="E181" s="63"/>
      <c r="F181" s="182"/>
      <c r="G181" s="182">
        <f>I181/D181</f>
        <v>641.9831272727273</v>
      </c>
      <c r="H181" s="182"/>
      <c r="I181" s="182">
        <f>264818.04*1.2</f>
        <v>317781.64799999999</v>
      </c>
      <c r="J181" s="179">
        <f t="shared" si="5"/>
        <v>317781.64799999999</v>
      </c>
      <c r="K181" s="64"/>
    </row>
    <row r="182" spans="1:11" ht="25.5" outlineLevel="1" x14ac:dyDescent="0.25">
      <c r="A182" s="2" t="s">
        <v>33</v>
      </c>
      <c r="B182" s="4" t="s">
        <v>101</v>
      </c>
      <c r="C182" s="3" t="s">
        <v>0</v>
      </c>
      <c r="D182" s="37">
        <f>495-49</f>
        <v>446</v>
      </c>
      <c r="E182" s="73">
        <f>(13.08)+(16.78)+(16.78)+(22.23)+(19.69)+(18.31)+(29.17)+(20.63)+(21.13)+(36.9+41.49+45.99+44.46+54.83+46.96+46.23)</f>
        <v>494.66</v>
      </c>
      <c r="F182" s="182"/>
      <c r="G182" s="182"/>
      <c r="H182" s="182"/>
      <c r="I182" s="182"/>
      <c r="J182" s="179">
        <f t="shared" si="5"/>
        <v>0</v>
      </c>
      <c r="K182" s="31"/>
    </row>
    <row r="183" spans="1:11" ht="13.5" outlineLevel="1" x14ac:dyDescent="0.25">
      <c r="A183" s="2" t="s">
        <v>34</v>
      </c>
      <c r="B183" s="4" t="s">
        <v>59</v>
      </c>
      <c r="C183" s="3" t="s">
        <v>0</v>
      </c>
      <c r="D183" s="37">
        <v>49</v>
      </c>
      <c r="E183" s="73"/>
      <c r="F183" s="182"/>
      <c r="G183" s="182"/>
      <c r="H183" s="182"/>
      <c r="I183" s="182"/>
      <c r="J183" s="179">
        <f t="shared" si="5"/>
        <v>0</v>
      </c>
      <c r="K183" s="31"/>
    </row>
    <row r="184" spans="1:11" s="24" customFormat="1" outlineLevel="1" x14ac:dyDescent="0.2">
      <c r="A184" s="2" t="s">
        <v>65</v>
      </c>
      <c r="B184" s="34" t="s">
        <v>188</v>
      </c>
      <c r="C184" s="18" t="s">
        <v>0</v>
      </c>
      <c r="D184" s="38">
        <f>(D182+D183)</f>
        <v>495</v>
      </c>
      <c r="E184" s="38"/>
      <c r="F184" s="182"/>
      <c r="G184" s="182"/>
      <c r="H184" s="182"/>
      <c r="I184" s="182"/>
      <c r="J184" s="179">
        <f t="shared" si="5"/>
        <v>0</v>
      </c>
      <c r="K184" s="23"/>
    </row>
    <row r="185" spans="1:11" s="24" customFormat="1" outlineLevel="1" x14ac:dyDescent="0.2">
      <c r="A185" s="2" t="s">
        <v>66</v>
      </c>
      <c r="B185" s="34" t="s">
        <v>245</v>
      </c>
      <c r="C185" s="18" t="s">
        <v>0</v>
      </c>
      <c r="D185" s="38">
        <f>D184</f>
        <v>495</v>
      </c>
      <c r="E185" s="38"/>
      <c r="F185" s="182"/>
      <c r="G185" s="182"/>
      <c r="H185" s="182"/>
      <c r="I185" s="182"/>
      <c r="J185" s="179">
        <f t="shared" si="5"/>
        <v>0</v>
      </c>
      <c r="K185" s="23"/>
    </row>
    <row r="186" spans="1:11" ht="13.5" outlineLevel="1" x14ac:dyDescent="0.2">
      <c r="A186" s="2" t="s">
        <v>67</v>
      </c>
      <c r="B186" s="34" t="s">
        <v>250</v>
      </c>
      <c r="C186" s="3" t="s">
        <v>0</v>
      </c>
      <c r="D186" s="68">
        <f>(170.6+342.6+10.9+11.5-39)-31.8-53.5-5</f>
        <v>406.3</v>
      </c>
      <c r="E186" s="68"/>
      <c r="F186" s="182"/>
      <c r="G186" s="182"/>
      <c r="H186" s="182"/>
      <c r="I186" s="182"/>
      <c r="J186" s="179">
        <f t="shared" si="5"/>
        <v>0</v>
      </c>
      <c r="K186" s="31"/>
    </row>
    <row r="187" spans="1:11" ht="13.5" outlineLevel="1" x14ac:dyDescent="0.2">
      <c r="A187" s="2" t="s">
        <v>68</v>
      </c>
      <c r="B187" s="34" t="s">
        <v>251</v>
      </c>
      <c r="C187" s="3" t="s">
        <v>0</v>
      </c>
      <c r="D187" s="68">
        <v>5</v>
      </c>
      <c r="E187" s="68"/>
      <c r="F187" s="182"/>
      <c r="G187" s="182"/>
      <c r="H187" s="182"/>
      <c r="I187" s="182"/>
      <c r="J187" s="179">
        <f t="shared" si="5"/>
        <v>0</v>
      </c>
      <c r="K187" s="31"/>
    </row>
    <row r="188" spans="1:11" ht="13.5" outlineLevel="1" x14ac:dyDescent="0.2">
      <c r="A188" s="2"/>
      <c r="B188" s="177" t="s">
        <v>280</v>
      </c>
      <c r="C188" s="49" t="s">
        <v>0</v>
      </c>
      <c r="D188" s="57">
        <f>(D186+5)*1.1</f>
        <v>452.43000000000006</v>
      </c>
      <c r="E188" s="68"/>
      <c r="F188" s="182"/>
      <c r="G188" s="182"/>
      <c r="H188" s="182"/>
      <c r="I188" s="182"/>
      <c r="J188" s="179">
        <f t="shared" si="5"/>
        <v>0</v>
      </c>
      <c r="K188" s="31"/>
    </row>
    <row r="189" spans="1:11" ht="13.5" outlineLevel="1" x14ac:dyDescent="0.2">
      <c r="A189" s="2" t="s">
        <v>102</v>
      </c>
      <c r="B189" s="34" t="s">
        <v>52</v>
      </c>
      <c r="C189" s="3" t="s">
        <v>0</v>
      </c>
      <c r="D189" s="37">
        <f>D186+D187</f>
        <v>411.3</v>
      </c>
      <c r="E189" s="37"/>
      <c r="F189" s="182"/>
      <c r="G189" s="182"/>
      <c r="H189" s="182"/>
      <c r="I189" s="182"/>
      <c r="J189" s="179">
        <f t="shared" si="5"/>
        <v>0</v>
      </c>
      <c r="K189" s="31"/>
    </row>
    <row r="190" spans="1:11" ht="13.5" x14ac:dyDescent="0.2">
      <c r="A190" s="43" t="s">
        <v>18</v>
      </c>
      <c r="B190" s="67" t="s">
        <v>269</v>
      </c>
      <c r="C190" s="118" t="s">
        <v>258</v>
      </c>
      <c r="D190" s="171">
        <v>9</v>
      </c>
      <c r="E190" s="37"/>
      <c r="F190" s="182">
        <f>H190/D190</f>
        <v>223350.74933333334</v>
      </c>
      <c r="G190" s="182">
        <f>I190/D190</f>
        <v>70829.222666666683</v>
      </c>
      <c r="H190" s="182">
        <f>1675130.62*1.2</f>
        <v>2010156.7439999999</v>
      </c>
      <c r="I190" s="182">
        <f>2206349.79*1.2-H190</f>
        <v>637463.00400000019</v>
      </c>
      <c r="J190" s="179">
        <f t="shared" si="5"/>
        <v>2647619.7480000001</v>
      </c>
      <c r="K190" s="31"/>
    </row>
    <row r="191" spans="1:11" ht="25.5" outlineLevel="1" x14ac:dyDescent="0.25">
      <c r="A191" s="2" t="s">
        <v>19</v>
      </c>
      <c r="B191" s="45" t="s">
        <v>70</v>
      </c>
      <c r="C191" s="3" t="s">
        <v>0</v>
      </c>
      <c r="D191" s="47">
        <f>D193+D194+D195+D196+D197+D198+D192</f>
        <v>37.960000000000008</v>
      </c>
      <c r="E191" s="47"/>
      <c r="F191" s="182">
        <f>H191/D191</f>
        <v>52954.603371970479</v>
      </c>
      <c r="G191" s="182">
        <f>I191/D191</f>
        <v>16793.019072708114</v>
      </c>
      <c r="H191" s="182">
        <f>1675130.62*1.2</f>
        <v>2010156.7439999999</v>
      </c>
      <c r="I191" s="182">
        <f>2206349.79*1.2-H191</f>
        <v>637463.00400000019</v>
      </c>
      <c r="J191" s="179">
        <f t="shared" si="5"/>
        <v>2647619.7480000001</v>
      </c>
      <c r="K191" s="31"/>
    </row>
    <row r="192" spans="1:11" ht="13.5" outlineLevel="1" x14ac:dyDescent="0.25">
      <c r="A192" s="2"/>
      <c r="B192" s="59" t="s">
        <v>69</v>
      </c>
      <c r="C192" s="49" t="s">
        <v>0</v>
      </c>
      <c r="D192" s="50">
        <v>8.8000000000000007</v>
      </c>
      <c r="E192" s="50"/>
      <c r="F192" s="197"/>
      <c r="G192" s="197"/>
      <c r="H192" s="197"/>
      <c r="I192" s="197"/>
      <c r="J192" s="179">
        <f t="shared" ref="J192:J240" si="6">H192+I192</f>
        <v>0</v>
      </c>
      <c r="K192" s="31"/>
    </row>
    <row r="193" spans="1:11" s="24" customFormat="1" outlineLevel="1" x14ac:dyDescent="0.25">
      <c r="A193" s="18"/>
      <c r="B193" s="51" t="s">
        <v>71</v>
      </c>
      <c r="C193" s="52" t="s">
        <v>0</v>
      </c>
      <c r="D193" s="53">
        <f>0.38*16</f>
        <v>6.08</v>
      </c>
      <c r="E193" s="53"/>
      <c r="F193" s="198"/>
      <c r="G193" s="197"/>
      <c r="H193" s="197"/>
      <c r="I193" s="197"/>
      <c r="J193" s="179">
        <f t="shared" si="6"/>
        <v>0</v>
      </c>
      <c r="K193" s="23"/>
    </row>
    <row r="194" spans="1:11" s="24" customFormat="1" outlineLevel="1" x14ac:dyDescent="0.25">
      <c r="A194" s="18"/>
      <c r="B194" s="51" t="s">
        <v>73</v>
      </c>
      <c r="C194" s="52" t="s">
        <v>0</v>
      </c>
      <c r="D194" s="53">
        <f>0.4*1</f>
        <v>0.4</v>
      </c>
      <c r="E194" s="53"/>
      <c r="F194" s="198"/>
      <c r="G194" s="197"/>
      <c r="H194" s="197"/>
      <c r="I194" s="197"/>
      <c r="J194" s="179">
        <f t="shared" si="6"/>
        <v>0</v>
      </c>
      <c r="K194" s="23"/>
    </row>
    <row r="195" spans="1:11" s="24" customFormat="1" outlineLevel="1" x14ac:dyDescent="0.25">
      <c r="A195" s="18"/>
      <c r="B195" s="51" t="s">
        <v>72</v>
      </c>
      <c r="C195" s="52" t="s">
        <v>0</v>
      </c>
      <c r="D195" s="53">
        <f>0.4*44</f>
        <v>17.600000000000001</v>
      </c>
      <c r="E195" s="53"/>
      <c r="F195" s="198"/>
      <c r="G195" s="197"/>
      <c r="H195" s="197"/>
      <c r="I195" s="197"/>
      <c r="J195" s="179">
        <f t="shared" si="6"/>
        <v>0</v>
      </c>
      <c r="K195" s="23"/>
    </row>
    <row r="196" spans="1:11" s="24" customFormat="1" outlineLevel="1" x14ac:dyDescent="0.25">
      <c r="A196" s="18"/>
      <c r="B196" s="51" t="s">
        <v>74</v>
      </c>
      <c r="C196" s="52" t="s">
        <v>0</v>
      </c>
      <c r="D196" s="53">
        <f>0.27*16</f>
        <v>4.32</v>
      </c>
      <c r="E196" s="53"/>
      <c r="F196" s="198"/>
      <c r="G196" s="197"/>
      <c r="H196" s="197"/>
      <c r="I196" s="197"/>
      <c r="J196" s="179">
        <f t="shared" si="6"/>
        <v>0</v>
      </c>
      <c r="K196" s="23"/>
    </row>
    <row r="197" spans="1:11" s="24" customFormat="1" outlineLevel="1" x14ac:dyDescent="0.25">
      <c r="A197" s="18"/>
      <c r="B197" s="51" t="s">
        <v>75</v>
      </c>
      <c r="C197" s="52" t="s">
        <v>0</v>
      </c>
      <c r="D197" s="53">
        <f>0.05*12</f>
        <v>0.60000000000000009</v>
      </c>
      <c r="E197" s="53"/>
      <c r="F197" s="198"/>
      <c r="G197" s="197"/>
      <c r="H197" s="197"/>
      <c r="I197" s="197"/>
      <c r="J197" s="179">
        <f t="shared" si="6"/>
        <v>0</v>
      </c>
      <c r="K197" s="23"/>
    </row>
    <row r="198" spans="1:11" s="24" customFormat="1" outlineLevel="1" x14ac:dyDescent="0.25">
      <c r="A198" s="18"/>
      <c r="B198" s="51" t="s">
        <v>76</v>
      </c>
      <c r="C198" s="52" t="s">
        <v>0</v>
      </c>
      <c r="D198" s="53">
        <f>0.02*8</f>
        <v>0.16</v>
      </c>
      <c r="E198" s="53"/>
      <c r="F198" s="198"/>
      <c r="G198" s="197"/>
      <c r="H198" s="197"/>
      <c r="I198" s="197"/>
      <c r="J198" s="179">
        <f t="shared" si="6"/>
        <v>0</v>
      </c>
      <c r="K198" s="23"/>
    </row>
    <row r="199" spans="1:11" s="24" customFormat="1" outlineLevel="1" x14ac:dyDescent="0.25">
      <c r="A199" s="18"/>
      <c r="B199" s="51" t="s">
        <v>42</v>
      </c>
      <c r="C199" s="52" t="s">
        <v>28</v>
      </c>
      <c r="D199" s="65">
        <v>5</v>
      </c>
      <c r="E199" s="65"/>
      <c r="F199" s="198"/>
      <c r="G199" s="197"/>
      <c r="H199" s="197"/>
      <c r="I199" s="197"/>
      <c r="J199" s="179">
        <f t="shared" si="6"/>
        <v>0</v>
      </c>
      <c r="K199" s="23"/>
    </row>
    <row r="200" spans="1:11" s="24" customFormat="1" outlineLevel="1" x14ac:dyDescent="0.25">
      <c r="A200" s="18"/>
      <c r="B200" s="51" t="s">
        <v>77</v>
      </c>
      <c r="C200" s="52" t="s">
        <v>28</v>
      </c>
      <c r="D200" s="65">
        <v>7</v>
      </c>
      <c r="E200" s="65"/>
      <c r="F200" s="198"/>
      <c r="G200" s="197"/>
      <c r="H200" s="197"/>
      <c r="I200" s="197"/>
      <c r="J200" s="179">
        <f t="shared" si="6"/>
        <v>0</v>
      </c>
      <c r="K200" s="23"/>
    </row>
    <row r="201" spans="1:11" s="24" customFormat="1" outlineLevel="1" x14ac:dyDescent="0.25">
      <c r="A201" s="18"/>
      <c r="B201" s="51" t="s">
        <v>41</v>
      </c>
      <c r="C201" s="52" t="s">
        <v>28</v>
      </c>
      <c r="D201" s="65">
        <v>4</v>
      </c>
      <c r="E201" s="65"/>
      <c r="F201" s="198"/>
      <c r="G201" s="197"/>
      <c r="H201" s="197"/>
      <c r="I201" s="197"/>
      <c r="J201" s="179">
        <f t="shared" si="6"/>
        <v>0</v>
      </c>
      <c r="K201" s="23"/>
    </row>
    <row r="202" spans="1:11" s="24" customFormat="1" outlineLevel="1" x14ac:dyDescent="0.25">
      <c r="A202" s="18"/>
      <c r="B202" s="51" t="s">
        <v>58</v>
      </c>
      <c r="C202" s="52" t="s">
        <v>28</v>
      </c>
      <c r="D202" s="65">
        <v>1</v>
      </c>
      <c r="E202" s="65"/>
      <c r="F202" s="198"/>
      <c r="G202" s="197"/>
      <c r="H202" s="197"/>
      <c r="I202" s="197"/>
      <c r="J202" s="179">
        <f t="shared" si="6"/>
        <v>0</v>
      </c>
      <c r="K202" s="23"/>
    </row>
    <row r="203" spans="1:11" s="24" customFormat="1" outlineLevel="1" x14ac:dyDescent="0.25">
      <c r="A203" s="18"/>
      <c r="B203" s="51" t="s">
        <v>36</v>
      </c>
      <c r="C203" s="52" t="s">
        <v>28</v>
      </c>
      <c r="D203" s="65">
        <v>2</v>
      </c>
      <c r="E203" s="65"/>
      <c r="F203" s="198"/>
      <c r="G203" s="197"/>
      <c r="H203" s="197"/>
      <c r="I203" s="197"/>
      <c r="J203" s="179">
        <f t="shared" si="6"/>
        <v>0</v>
      </c>
      <c r="K203" s="23"/>
    </row>
    <row r="204" spans="1:11" ht="13.5" outlineLevel="1" x14ac:dyDescent="0.25">
      <c r="A204" s="2"/>
      <c r="B204" s="51" t="s">
        <v>57</v>
      </c>
      <c r="C204" s="52" t="s">
        <v>28</v>
      </c>
      <c r="D204" s="66">
        <v>3</v>
      </c>
      <c r="E204" s="66"/>
      <c r="F204" s="197"/>
      <c r="G204" s="197"/>
      <c r="H204" s="197"/>
      <c r="I204" s="197"/>
      <c r="J204" s="179">
        <f t="shared" si="6"/>
        <v>0</v>
      </c>
      <c r="K204" s="31"/>
    </row>
    <row r="205" spans="1:11" ht="13.5" outlineLevel="1" x14ac:dyDescent="0.25">
      <c r="A205" s="2"/>
      <c r="B205" s="51" t="s">
        <v>78</v>
      </c>
      <c r="C205" s="52" t="s">
        <v>28</v>
      </c>
      <c r="D205" s="66">
        <v>2</v>
      </c>
      <c r="E205" s="66"/>
      <c r="F205" s="197"/>
      <c r="G205" s="197"/>
      <c r="H205" s="197"/>
      <c r="I205" s="197"/>
      <c r="J205" s="179">
        <f t="shared" si="6"/>
        <v>0</v>
      </c>
      <c r="K205" s="31"/>
    </row>
    <row r="206" spans="1:11" ht="13.5" outlineLevel="1" x14ac:dyDescent="0.25">
      <c r="A206" s="2"/>
      <c r="B206" s="51" t="s">
        <v>79</v>
      </c>
      <c r="C206" s="52" t="s">
        <v>28</v>
      </c>
      <c r="D206" s="66">
        <v>2</v>
      </c>
      <c r="E206" s="66"/>
      <c r="F206" s="197"/>
      <c r="G206" s="197"/>
      <c r="H206" s="197"/>
      <c r="I206" s="197"/>
      <c r="J206" s="179">
        <f t="shared" si="6"/>
        <v>0</v>
      </c>
      <c r="K206" s="31"/>
    </row>
    <row r="207" spans="1:11" ht="13.5" outlineLevel="1" x14ac:dyDescent="0.25">
      <c r="A207" s="2"/>
      <c r="B207" s="51" t="s">
        <v>80</v>
      </c>
      <c r="C207" s="52" t="s">
        <v>28</v>
      </c>
      <c r="D207" s="66">
        <v>1</v>
      </c>
      <c r="E207" s="66"/>
      <c r="F207" s="197"/>
      <c r="G207" s="197"/>
      <c r="H207" s="197"/>
      <c r="I207" s="197"/>
      <c r="J207" s="179">
        <f t="shared" si="6"/>
        <v>0</v>
      </c>
      <c r="K207" s="31"/>
    </row>
    <row r="208" spans="1:11" ht="13.5" outlineLevel="1" x14ac:dyDescent="0.25">
      <c r="A208" s="2"/>
      <c r="B208" s="51" t="s">
        <v>81</v>
      </c>
      <c r="C208" s="52" t="s">
        <v>28</v>
      </c>
      <c r="D208" s="66">
        <v>3</v>
      </c>
      <c r="E208" s="66"/>
      <c r="F208" s="197"/>
      <c r="G208" s="197"/>
      <c r="H208" s="197"/>
      <c r="I208" s="197"/>
      <c r="J208" s="179">
        <f t="shared" si="6"/>
        <v>0</v>
      </c>
      <c r="K208" s="31"/>
    </row>
    <row r="209" spans="1:11" ht="13.5" outlineLevel="1" x14ac:dyDescent="0.25">
      <c r="A209" s="2"/>
      <c r="B209" s="48" t="s">
        <v>39</v>
      </c>
      <c r="C209" s="49" t="s">
        <v>28</v>
      </c>
      <c r="D209" s="66">
        <v>12</v>
      </c>
      <c r="E209" s="66"/>
      <c r="F209" s="197"/>
      <c r="G209" s="197"/>
      <c r="H209" s="197"/>
      <c r="I209" s="197"/>
      <c r="J209" s="179">
        <f t="shared" si="6"/>
        <v>0</v>
      </c>
      <c r="K209" s="31"/>
    </row>
    <row r="210" spans="1:11" ht="13.5" outlineLevel="1" x14ac:dyDescent="0.25">
      <c r="A210" s="2"/>
      <c r="B210" s="48" t="s">
        <v>105</v>
      </c>
      <c r="C210" s="49" t="s">
        <v>28</v>
      </c>
      <c r="D210" s="66">
        <v>2</v>
      </c>
      <c r="E210" s="66"/>
      <c r="F210" s="197"/>
      <c r="G210" s="197"/>
      <c r="H210" s="197"/>
      <c r="I210" s="197"/>
      <c r="J210" s="179">
        <f t="shared" si="6"/>
        <v>0</v>
      </c>
      <c r="K210" s="31"/>
    </row>
    <row r="211" spans="1:11" ht="13.5" outlineLevel="1" x14ac:dyDescent="0.25">
      <c r="A211" s="2"/>
      <c r="B211" s="48" t="s">
        <v>40</v>
      </c>
      <c r="C211" s="49" t="s">
        <v>28</v>
      </c>
      <c r="D211" s="66">
        <v>18</v>
      </c>
      <c r="E211" s="66"/>
      <c r="F211" s="197"/>
      <c r="G211" s="197"/>
      <c r="H211" s="197"/>
      <c r="I211" s="197"/>
      <c r="J211" s="179">
        <f t="shared" si="6"/>
        <v>0</v>
      </c>
      <c r="K211" s="31"/>
    </row>
    <row r="212" spans="1:11" ht="13.5" outlineLevel="1" x14ac:dyDescent="0.25">
      <c r="A212" s="2" t="s">
        <v>20</v>
      </c>
      <c r="B212" s="45" t="s">
        <v>35</v>
      </c>
      <c r="C212" s="55" t="s">
        <v>10</v>
      </c>
      <c r="D212" s="47">
        <f>84.8+142.7</f>
        <v>227.5</v>
      </c>
      <c r="E212" s="47"/>
      <c r="F212" s="197"/>
      <c r="G212" s="197"/>
      <c r="H212" s="197"/>
      <c r="I212" s="197"/>
      <c r="J212" s="179">
        <f t="shared" si="6"/>
        <v>0</v>
      </c>
      <c r="K212" s="31"/>
    </row>
    <row r="213" spans="1:11" ht="13.5" outlineLevel="1" x14ac:dyDescent="0.25">
      <c r="A213" s="2"/>
      <c r="B213" s="48" t="s">
        <v>37</v>
      </c>
      <c r="C213" s="49" t="s">
        <v>29</v>
      </c>
      <c r="D213" s="50">
        <f>D212*2*0.3</f>
        <v>136.5</v>
      </c>
      <c r="E213" s="50"/>
      <c r="F213" s="197"/>
      <c r="G213" s="197"/>
      <c r="H213" s="197"/>
      <c r="I213" s="197"/>
      <c r="J213" s="179">
        <f t="shared" si="6"/>
        <v>0</v>
      </c>
      <c r="K213" s="31"/>
    </row>
    <row r="214" spans="1:11" ht="13.5" outlineLevel="1" x14ac:dyDescent="0.25">
      <c r="A214" s="2" t="s">
        <v>24</v>
      </c>
      <c r="B214" s="45" t="s">
        <v>63</v>
      </c>
      <c r="C214" s="49" t="s">
        <v>28</v>
      </c>
      <c r="D214" s="50">
        <v>3</v>
      </c>
      <c r="E214" s="50"/>
      <c r="F214" s="197"/>
      <c r="G214" s="197"/>
      <c r="H214" s="197"/>
      <c r="I214" s="197"/>
      <c r="J214" s="179">
        <f t="shared" si="6"/>
        <v>0</v>
      </c>
      <c r="K214" s="31"/>
    </row>
    <row r="215" spans="1:11" ht="13.5" outlineLevel="1" x14ac:dyDescent="0.25">
      <c r="A215" s="2"/>
      <c r="B215" s="48" t="s">
        <v>60</v>
      </c>
      <c r="C215" s="49" t="s">
        <v>25</v>
      </c>
      <c r="D215" s="50">
        <f>102.3+240</f>
        <v>342.3</v>
      </c>
      <c r="E215" s="50"/>
      <c r="F215" s="197"/>
      <c r="G215" s="197"/>
      <c r="H215" s="197"/>
      <c r="I215" s="197"/>
      <c r="J215" s="179">
        <f t="shared" si="6"/>
        <v>0</v>
      </c>
      <c r="K215" s="31"/>
    </row>
    <row r="216" spans="1:11" ht="13.5" outlineLevel="1" x14ac:dyDescent="0.25">
      <c r="A216" s="2"/>
      <c r="B216" s="48" t="s">
        <v>61</v>
      </c>
      <c r="C216" s="49" t="s">
        <v>25</v>
      </c>
      <c r="D216" s="50">
        <f>80+120</f>
        <v>200</v>
      </c>
      <c r="E216" s="50"/>
      <c r="F216" s="197"/>
      <c r="G216" s="197"/>
      <c r="H216" s="197"/>
      <c r="I216" s="197"/>
      <c r="J216" s="179">
        <f t="shared" si="6"/>
        <v>0</v>
      </c>
      <c r="K216" s="31"/>
    </row>
    <row r="217" spans="1:11" ht="13.5" outlineLevel="1" x14ac:dyDescent="0.25">
      <c r="A217" s="2"/>
      <c r="B217" s="48" t="s">
        <v>62</v>
      </c>
      <c r="C217" s="49" t="s">
        <v>0</v>
      </c>
      <c r="D217" s="50">
        <f>10+5.1</f>
        <v>15.1</v>
      </c>
      <c r="E217" s="50"/>
      <c r="F217" s="197"/>
      <c r="G217" s="197"/>
      <c r="H217" s="197"/>
      <c r="I217" s="197"/>
      <c r="J217" s="179">
        <f t="shared" si="6"/>
        <v>0</v>
      </c>
      <c r="K217" s="31"/>
    </row>
    <row r="218" spans="1:11" ht="13.5" x14ac:dyDescent="0.25">
      <c r="A218" s="43" t="s">
        <v>64</v>
      </c>
      <c r="B218" s="44" t="s">
        <v>51</v>
      </c>
      <c r="C218" s="118" t="s">
        <v>263</v>
      </c>
      <c r="D218" s="172">
        <f>D219+D225+D231+D237+D243+D249+D256+D263+D269+D275+D281+D287</f>
        <v>305.87</v>
      </c>
      <c r="E218" s="47"/>
      <c r="F218" s="197">
        <f>H218/D218</f>
        <v>16887.810873900675</v>
      </c>
      <c r="G218" s="197">
        <f>I218/D218</f>
        <v>13109.633216726061</v>
      </c>
      <c r="H218" s="197">
        <f>(210721.52+4093840.74)*1.2</f>
        <v>5165474.7119999994</v>
      </c>
      <c r="I218" s="197">
        <f>(7413454.77+232643.75)*1.2-H218</f>
        <v>4009843.5120000001</v>
      </c>
      <c r="J218" s="179">
        <f t="shared" si="6"/>
        <v>9175318.2239999995</v>
      </c>
      <c r="K218" s="31"/>
    </row>
    <row r="219" spans="1:11" ht="13.5" outlineLevel="1" x14ac:dyDescent="0.25">
      <c r="A219" s="2" t="s">
        <v>83</v>
      </c>
      <c r="B219" s="131" t="s">
        <v>43</v>
      </c>
      <c r="C219" s="3" t="s">
        <v>30</v>
      </c>
      <c r="D219" s="47">
        <v>18</v>
      </c>
      <c r="E219" s="47"/>
      <c r="F219" s="197"/>
      <c r="G219" s="197"/>
      <c r="H219" s="197"/>
      <c r="I219" s="197"/>
      <c r="J219" s="179">
        <f t="shared" si="6"/>
        <v>0</v>
      </c>
      <c r="K219" s="31"/>
    </row>
    <row r="220" spans="1:11" ht="13.5" outlineLevel="1" x14ac:dyDescent="0.25">
      <c r="A220" s="2"/>
      <c r="B220" s="48" t="s">
        <v>47</v>
      </c>
      <c r="C220" s="49" t="s">
        <v>25</v>
      </c>
      <c r="D220" s="69">
        <v>20</v>
      </c>
      <c r="E220" s="69"/>
      <c r="F220" s="197"/>
      <c r="G220" s="197"/>
      <c r="H220" s="197"/>
      <c r="I220" s="197"/>
      <c r="J220" s="179">
        <f t="shared" si="6"/>
        <v>0</v>
      </c>
      <c r="K220" s="31"/>
    </row>
    <row r="221" spans="1:11" ht="13.5" outlineLevel="1" x14ac:dyDescent="0.25">
      <c r="A221" s="2"/>
      <c r="B221" s="45" t="s">
        <v>53</v>
      </c>
      <c r="C221" s="3" t="s">
        <v>0</v>
      </c>
      <c r="D221" s="47">
        <v>6.5</v>
      </c>
      <c r="E221" s="47"/>
      <c r="F221" s="197"/>
      <c r="G221" s="197"/>
      <c r="H221" s="197"/>
      <c r="I221" s="197"/>
      <c r="J221" s="179">
        <f t="shared" si="6"/>
        <v>0</v>
      </c>
      <c r="K221" s="31"/>
    </row>
    <row r="222" spans="1:11" ht="13.5" outlineLevel="1" x14ac:dyDescent="0.25">
      <c r="A222" s="2"/>
      <c r="B222" s="45" t="s">
        <v>54</v>
      </c>
      <c r="C222" s="3" t="s">
        <v>0</v>
      </c>
      <c r="D222" s="47">
        <v>6.5</v>
      </c>
      <c r="E222" s="47"/>
      <c r="F222" s="197"/>
      <c r="G222" s="197"/>
      <c r="H222" s="197"/>
      <c r="I222" s="197"/>
      <c r="J222" s="179">
        <f t="shared" si="6"/>
        <v>0</v>
      </c>
      <c r="K222" s="31"/>
    </row>
    <row r="223" spans="1:11" ht="13.5" outlineLevel="1" x14ac:dyDescent="0.25">
      <c r="A223" s="2"/>
      <c r="B223" s="45" t="s">
        <v>55</v>
      </c>
      <c r="C223" s="3" t="s">
        <v>0</v>
      </c>
      <c r="D223" s="47">
        <v>6.5</v>
      </c>
      <c r="E223" s="47"/>
      <c r="F223" s="197"/>
      <c r="G223" s="197"/>
      <c r="H223" s="197"/>
      <c r="I223" s="197"/>
      <c r="J223" s="179">
        <f t="shared" si="6"/>
        <v>0</v>
      </c>
      <c r="K223" s="31"/>
    </row>
    <row r="224" spans="1:11" ht="13.5" outlineLevel="1" x14ac:dyDescent="0.25">
      <c r="A224" s="2"/>
      <c r="B224" s="45" t="s">
        <v>49</v>
      </c>
      <c r="C224" s="3" t="s">
        <v>28</v>
      </c>
      <c r="D224" s="47">
        <v>1</v>
      </c>
      <c r="E224" s="47"/>
      <c r="F224" s="197"/>
      <c r="G224" s="197"/>
      <c r="H224" s="197"/>
      <c r="I224" s="197"/>
      <c r="J224" s="179">
        <f t="shared" si="6"/>
        <v>0</v>
      </c>
      <c r="K224" s="31"/>
    </row>
    <row r="225" spans="1:11" ht="13.5" outlineLevel="1" x14ac:dyDescent="0.25">
      <c r="A225" s="2" t="s">
        <v>84</v>
      </c>
      <c r="B225" s="131" t="s">
        <v>44</v>
      </c>
      <c r="C225" s="3" t="s">
        <v>30</v>
      </c>
      <c r="D225" s="54">
        <v>6</v>
      </c>
      <c r="E225" s="54"/>
      <c r="F225" s="197"/>
      <c r="G225" s="197"/>
      <c r="H225" s="197"/>
      <c r="I225" s="197"/>
      <c r="J225" s="179">
        <f t="shared" si="6"/>
        <v>0</v>
      </c>
      <c r="K225" s="31"/>
    </row>
    <row r="226" spans="1:11" ht="13.5" outlineLevel="1" x14ac:dyDescent="0.25">
      <c r="A226" s="2"/>
      <c r="B226" s="48" t="s">
        <v>47</v>
      </c>
      <c r="C226" s="49" t="s">
        <v>25</v>
      </c>
      <c r="D226" s="69">
        <v>8</v>
      </c>
      <c r="E226" s="69"/>
      <c r="F226" s="197"/>
      <c r="G226" s="197"/>
      <c r="H226" s="197"/>
      <c r="I226" s="197"/>
      <c r="J226" s="179">
        <f t="shared" si="6"/>
        <v>0</v>
      </c>
      <c r="K226" s="31"/>
    </row>
    <row r="227" spans="1:11" ht="13.5" outlineLevel="1" x14ac:dyDescent="0.25">
      <c r="A227" s="2"/>
      <c r="B227" s="45" t="s">
        <v>53</v>
      </c>
      <c r="C227" s="3" t="s">
        <v>0</v>
      </c>
      <c r="D227" s="47">
        <v>6.5</v>
      </c>
      <c r="E227" s="47"/>
      <c r="F227" s="197"/>
      <c r="G227" s="197"/>
      <c r="H227" s="197"/>
      <c r="I227" s="197"/>
      <c r="J227" s="179">
        <f t="shared" si="6"/>
        <v>0</v>
      </c>
      <c r="K227" s="31"/>
    </row>
    <row r="228" spans="1:11" ht="13.5" outlineLevel="1" x14ac:dyDescent="0.25">
      <c r="A228" s="2"/>
      <c r="B228" s="45" t="s">
        <v>54</v>
      </c>
      <c r="C228" s="3" t="s">
        <v>0</v>
      </c>
      <c r="D228" s="47">
        <v>6.5</v>
      </c>
      <c r="E228" s="47"/>
      <c r="F228" s="197"/>
      <c r="G228" s="197"/>
      <c r="H228" s="197"/>
      <c r="I228" s="197"/>
      <c r="J228" s="179">
        <f t="shared" si="6"/>
        <v>0</v>
      </c>
      <c r="K228" s="31"/>
    </row>
    <row r="229" spans="1:11" ht="13.5" outlineLevel="1" x14ac:dyDescent="0.25">
      <c r="A229" s="2"/>
      <c r="B229" s="45" t="s">
        <v>55</v>
      </c>
      <c r="C229" s="3" t="s">
        <v>0</v>
      </c>
      <c r="D229" s="47">
        <v>6.5</v>
      </c>
      <c r="E229" s="47"/>
      <c r="F229" s="197"/>
      <c r="G229" s="197"/>
      <c r="H229" s="197"/>
      <c r="I229" s="197"/>
      <c r="J229" s="179">
        <f t="shared" si="6"/>
        <v>0</v>
      </c>
      <c r="K229" s="31"/>
    </row>
    <row r="230" spans="1:11" ht="13.5" outlineLevel="1" x14ac:dyDescent="0.25">
      <c r="A230" s="2"/>
      <c r="B230" s="45" t="s">
        <v>49</v>
      </c>
      <c r="C230" s="3" t="s">
        <v>28</v>
      </c>
      <c r="D230" s="47">
        <v>1</v>
      </c>
      <c r="E230" s="47"/>
      <c r="F230" s="197"/>
      <c r="G230" s="197"/>
      <c r="H230" s="197"/>
      <c r="I230" s="197"/>
      <c r="J230" s="179">
        <f t="shared" si="6"/>
        <v>0</v>
      </c>
      <c r="K230" s="31"/>
    </row>
    <row r="231" spans="1:11" ht="13.5" outlineLevel="1" x14ac:dyDescent="0.25">
      <c r="A231" s="2" t="s">
        <v>85</v>
      </c>
      <c r="B231" s="131" t="s">
        <v>46</v>
      </c>
      <c r="C231" s="3" t="s">
        <v>30</v>
      </c>
      <c r="D231" s="54">
        <v>54</v>
      </c>
      <c r="E231" s="54"/>
      <c r="F231" s="197"/>
      <c r="G231" s="197"/>
      <c r="H231" s="197"/>
      <c r="I231" s="197"/>
      <c r="J231" s="179">
        <f t="shared" si="6"/>
        <v>0</v>
      </c>
      <c r="K231" s="31"/>
    </row>
    <row r="232" spans="1:11" ht="13.5" outlineLevel="1" x14ac:dyDescent="0.25">
      <c r="A232" s="2"/>
      <c r="B232" s="48" t="s">
        <v>47</v>
      </c>
      <c r="C232" s="49" t="s">
        <v>25</v>
      </c>
      <c r="D232" s="69">
        <v>56</v>
      </c>
      <c r="E232" s="69"/>
      <c r="F232" s="197"/>
      <c r="G232" s="197"/>
      <c r="H232" s="197"/>
      <c r="I232" s="197"/>
      <c r="J232" s="179">
        <f t="shared" si="6"/>
        <v>0</v>
      </c>
      <c r="K232" s="31"/>
    </row>
    <row r="233" spans="1:11" ht="13.5" outlineLevel="1" x14ac:dyDescent="0.25">
      <c r="A233" s="2"/>
      <c r="B233" s="45" t="s">
        <v>53</v>
      </c>
      <c r="C233" s="3" t="s">
        <v>0</v>
      </c>
      <c r="D233" s="47">
        <v>6.5</v>
      </c>
      <c r="E233" s="47"/>
      <c r="F233" s="197"/>
      <c r="G233" s="197"/>
      <c r="H233" s="197"/>
      <c r="I233" s="197"/>
      <c r="J233" s="179">
        <f t="shared" si="6"/>
        <v>0</v>
      </c>
      <c r="K233" s="31"/>
    </row>
    <row r="234" spans="1:11" ht="13.5" outlineLevel="1" x14ac:dyDescent="0.25">
      <c r="A234" s="2"/>
      <c r="B234" s="45" t="s">
        <v>54</v>
      </c>
      <c r="C234" s="3" t="s">
        <v>0</v>
      </c>
      <c r="D234" s="47">
        <v>6.5</v>
      </c>
      <c r="E234" s="47"/>
      <c r="F234" s="197"/>
      <c r="G234" s="197"/>
      <c r="H234" s="197"/>
      <c r="I234" s="197"/>
      <c r="J234" s="179">
        <f t="shared" si="6"/>
        <v>0</v>
      </c>
      <c r="K234" s="31"/>
    </row>
    <row r="235" spans="1:11" ht="13.5" outlineLevel="1" x14ac:dyDescent="0.25">
      <c r="A235" s="2"/>
      <c r="B235" s="45" t="s">
        <v>55</v>
      </c>
      <c r="C235" s="3" t="s">
        <v>0</v>
      </c>
      <c r="D235" s="47">
        <v>6.5</v>
      </c>
      <c r="E235" s="47"/>
      <c r="F235" s="197"/>
      <c r="G235" s="197"/>
      <c r="H235" s="197"/>
      <c r="I235" s="197"/>
      <c r="J235" s="179">
        <f t="shared" si="6"/>
        <v>0</v>
      </c>
      <c r="K235" s="31"/>
    </row>
    <row r="236" spans="1:11" ht="13.5" outlineLevel="1" x14ac:dyDescent="0.25">
      <c r="A236" s="2"/>
      <c r="B236" s="45" t="s">
        <v>49</v>
      </c>
      <c r="C236" s="3" t="s">
        <v>28</v>
      </c>
      <c r="D236" s="47">
        <v>1</v>
      </c>
      <c r="E236" s="47"/>
      <c r="F236" s="197"/>
      <c r="G236" s="197"/>
      <c r="H236" s="197"/>
      <c r="I236" s="197"/>
      <c r="J236" s="179">
        <f t="shared" si="6"/>
        <v>0</v>
      </c>
      <c r="K236" s="31"/>
    </row>
    <row r="237" spans="1:11" ht="13.5" outlineLevel="1" x14ac:dyDescent="0.25">
      <c r="A237" s="2" t="s">
        <v>82</v>
      </c>
      <c r="B237" s="131" t="s">
        <v>92</v>
      </c>
      <c r="C237" s="3" t="s">
        <v>30</v>
      </c>
      <c r="D237" s="54">
        <v>3</v>
      </c>
      <c r="E237" s="54"/>
      <c r="F237" s="197"/>
      <c r="G237" s="197"/>
      <c r="H237" s="197"/>
      <c r="I237" s="197"/>
      <c r="J237" s="179">
        <f t="shared" si="6"/>
        <v>0</v>
      </c>
      <c r="K237" s="31"/>
    </row>
    <row r="238" spans="1:11" ht="13.5" outlineLevel="1" x14ac:dyDescent="0.25">
      <c r="A238" s="2"/>
      <c r="B238" s="48" t="s">
        <v>47</v>
      </c>
      <c r="C238" s="49" t="s">
        <v>25</v>
      </c>
      <c r="D238" s="69">
        <v>5</v>
      </c>
      <c r="E238" s="69"/>
      <c r="F238" s="197"/>
      <c r="G238" s="197"/>
      <c r="H238" s="197"/>
      <c r="I238" s="197"/>
      <c r="J238" s="179">
        <f t="shared" si="6"/>
        <v>0</v>
      </c>
      <c r="K238" s="31"/>
    </row>
    <row r="239" spans="1:11" ht="13.5" outlineLevel="1" x14ac:dyDescent="0.25">
      <c r="A239" s="2"/>
      <c r="B239" s="45" t="s">
        <v>53</v>
      </c>
      <c r="C239" s="3" t="s">
        <v>0</v>
      </c>
      <c r="D239" s="47">
        <v>6.5</v>
      </c>
      <c r="E239" s="47"/>
      <c r="F239" s="197"/>
      <c r="G239" s="197"/>
      <c r="H239" s="197"/>
      <c r="I239" s="197"/>
      <c r="J239" s="179">
        <f t="shared" si="6"/>
        <v>0</v>
      </c>
      <c r="K239" s="31"/>
    </row>
    <row r="240" spans="1:11" ht="13.5" outlineLevel="1" x14ac:dyDescent="0.25">
      <c r="A240" s="2"/>
      <c r="B240" s="45" t="s">
        <v>54</v>
      </c>
      <c r="C240" s="3" t="s">
        <v>0</v>
      </c>
      <c r="D240" s="47">
        <v>6.5</v>
      </c>
      <c r="E240" s="47"/>
      <c r="F240" s="197"/>
      <c r="G240" s="197"/>
      <c r="H240" s="197"/>
      <c r="I240" s="197"/>
      <c r="J240" s="179">
        <f t="shared" si="6"/>
        <v>0</v>
      </c>
      <c r="K240" s="31"/>
    </row>
    <row r="241" spans="1:11" ht="13.5" outlineLevel="1" x14ac:dyDescent="0.25">
      <c r="A241" s="2"/>
      <c r="B241" s="45" t="s">
        <v>55</v>
      </c>
      <c r="C241" s="3" t="s">
        <v>0</v>
      </c>
      <c r="D241" s="47">
        <v>6.5</v>
      </c>
      <c r="E241" s="47"/>
      <c r="F241" s="197"/>
      <c r="G241" s="197"/>
      <c r="H241" s="197"/>
      <c r="I241" s="197"/>
      <c r="J241" s="179">
        <f t="shared" ref="J241:J291" si="7">H241+I241</f>
        <v>0</v>
      </c>
      <c r="K241" s="31"/>
    </row>
    <row r="242" spans="1:11" ht="13.5" outlineLevel="1" x14ac:dyDescent="0.25">
      <c r="A242" s="2"/>
      <c r="B242" s="45" t="s">
        <v>49</v>
      </c>
      <c r="C242" s="3" t="s">
        <v>28</v>
      </c>
      <c r="D242" s="47">
        <v>1</v>
      </c>
      <c r="E242" s="47"/>
      <c r="F242" s="197"/>
      <c r="G242" s="197"/>
      <c r="H242" s="197"/>
      <c r="I242" s="197"/>
      <c r="J242" s="179">
        <f t="shared" si="7"/>
        <v>0</v>
      </c>
      <c r="K242" s="31"/>
    </row>
    <row r="243" spans="1:11" ht="13.5" outlineLevel="1" x14ac:dyDescent="0.25">
      <c r="A243" s="2" t="s">
        <v>86</v>
      </c>
      <c r="B243" s="131" t="s">
        <v>189</v>
      </c>
      <c r="C243" s="3" t="s">
        <v>30</v>
      </c>
      <c r="D243" s="54">
        <v>16</v>
      </c>
      <c r="E243" s="54"/>
      <c r="F243" s="197"/>
      <c r="G243" s="197"/>
      <c r="H243" s="197"/>
      <c r="I243" s="197"/>
      <c r="J243" s="179">
        <f t="shared" si="7"/>
        <v>0</v>
      </c>
      <c r="K243" s="31"/>
    </row>
    <row r="244" spans="1:11" ht="13.5" outlineLevel="1" x14ac:dyDescent="0.25">
      <c r="A244" s="2"/>
      <c r="B244" s="48" t="s">
        <v>47</v>
      </c>
      <c r="C244" s="49" t="s">
        <v>25</v>
      </c>
      <c r="D244" s="69">
        <v>18</v>
      </c>
      <c r="E244" s="69"/>
      <c r="F244" s="197"/>
      <c r="G244" s="197"/>
      <c r="H244" s="197"/>
      <c r="I244" s="197"/>
      <c r="J244" s="179">
        <f t="shared" si="7"/>
        <v>0</v>
      </c>
      <c r="K244" s="31"/>
    </row>
    <row r="245" spans="1:11" ht="13.5" outlineLevel="1" x14ac:dyDescent="0.25">
      <c r="A245" s="2"/>
      <c r="B245" s="45" t="s">
        <v>53</v>
      </c>
      <c r="C245" s="3" t="s">
        <v>0</v>
      </c>
      <c r="D245" s="47">
        <v>6.5</v>
      </c>
      <c r="E245" s="47"/>
      <c r="F245" s="197"/>
      <c r="G245" s="197"/>
      <c r="H245" s="197"/>
      <c r="I245" s="197"/>
      <c r="J245" s="179">
        <f t="shared" si="7"/>
        <v>0</v>
      </c>
      <c r="K245" s="31"/>
    </row>
    <row r="246" spans="1:11" ht="13.5" outlineLevel="1" x14ac:dyDescent="0.25">
      <c r="A246" s="2"/>
      <c r="B246" s="45" t="s">
        <v>54</v>
      </c>
      <c r="C246" s="3" t="s">
        <v>0</v>
      </c>
      <c r="D246" s="47">
        <v>6.5</v>
      </c>
      <c r="E246" s="47"/>
      <c r="F246" s="197"/>
      <c r="G246" s="197"/>
      <c r="H246" s="197"/>
      <c r="I246" s="197"/>
      <c r="J246" s="179">
        <f t="shared" si="7"/>
        <v>0</v>
      </c>
      <c r="K246" s="31"/>
    </row>
    <row r="247" spans="1:11" ht="13.5" outlineLevel="1" x14ac:dyDescent="0.25">
      <c r="A247" s="2"/>
      <c r="B247" s="45" t="s">
        <v>55</v>
      </c>
      <c r="C247" s="3" t="s">
        <v>0</v>
      </c>
      <c r="D247" s="47">
        <v>6.5</v>
      </c>
      <c r="E247" s="47"/>
      <c r="F247" s="197"/>
      <c r="G247" s="197"/>
      <c r="H247" s="197"/>
      <c r="I247" s="197"/>
      <c r="J247" s="179">
        <f t="shared" si="7"/>
        <v>0</v>
      </c>
      <c r="K247" s="31"/>
    </row>
    <row r="248" spans="1:11" ht="13.5" outlineLevel="1" x14ac:dyDescent="0.25">
      <c r="A248" s="2"/>
      <c r="B248" s="45" t="s">
        <v>49</v>
      </c>
      <c r="C248" s="3" t="s">
        <v>28</v>
      </c>
      <c r="D248" s="47">
        <v>1</v>
      </c>
      <c r="E248" s="47"/>
      <c r="F248" s="197"/>
      <c r="G248" s="197"/>
      <c r="H248" s="197"/>
      <c r="I248" s="197"/>
      <c r="J248" s="179">
        <f t="shared" si="7"/>
        <v>0</v>
      </c>
      <c r="K248" s="31"/>
    </row>
    <row r="249" spans="1:11" ht="25.5" outlineLevel="1" x14ac:dyDescent="0.25">
      <c r="A249" s="2" t="s">
        <v>87</v>
      </c>
      <c r="B249" s="131" t="s">
        <v>45</v>
      </c>
      <c r="C249" s="3" t="s">
        <v>30</v>
      </c>
      <c r="D249" s="54">
        <v>37</v>
      </c>
      <c r="E249" s="54"/>
      <c r="F249" s="197"/>
      <c r="G249" s="197"/>
      <c r="H249" s="197"/>
      <c r="I249" s="197"/>
      <c r="J249" s="179">
        <f t="shared" si="7"/>
        <v>0</v>
      </c>
      <c r="K249" s="31"/>
    </row>
    <row r="250" spans="1:11" ht="13.5" outlineLevel="1" x14ac:dyDescent="0.25">
      <c r="A250" s="2"/>
      <c r="B250" s="48" t="s">
        <v>47</v>
      </c>
      <c r="C250" s="49" t="s">
        <v>25</v>
      </c>
      <c r="D250" s="69">
        <v>39</v>
      </c>
      <c r="E250" s="69"/>
      <c r="F250" s="197"/>
      <c r="G250" s="197"/>
      <c r="H250" s="197"/>
      <c r="I250" s="197"/>
      <c r="J250" s="179">
        <f t="shared" si="7"/>
        <v>0</v>
      </c>
      <c r="K250" s="31"/>
    </row>
    <row r="251" spans="1:11" ht="13.5" outlineLevel="1" x14ac:dyDescent="0.25">
      <c r="A251" s="2"/>
      <c r="B251" s="48" t="s">
        <v>48</v>
      </c>
      <c r="C251" s="49" t="s">
        <v>25</v>
      </c>
      <c r="D251" s="69">
        <v>37</v>
      </c>
      <c r="E251" s="69"/>
      <c r="F251" s="197"/>
      <c r="G251" s="197"/>
      <c r="H251" s="197"/>
      <c r="I251" s="197"/>
      <c r="J251" s="179">
        <f t="shared" si="7"/>
        <v>0</v>
      </c>
      <c r="K251" s="31"/>
    </row>
    <row r="252" spans="1:11" ht="13.5" outlineLevel="1" x14ac:dyDescent="0.25">
      <c r="A252" s="2"/>
      <c r="B252" s="45" t="s">
        <v>53</v>
      </c>
      <c r="C252" s="3" t="s">
        <v>0</v>
      </c>
      <c r="D252" s="47">
        <v>6.5</v>
      </c>
      <c r="E252" s="47"/>
      <c r="F252" s="197"/>
      <c r="G252" s="197"/>
      <c r="H252" s="197"/>
      <c r="I252" s="197"/>
      <c r="J252" s="179">
        <f t="shared" si="7"/>
        <v>0</v>
      </c>
      <c r="K252" s="31"/>
    </row>
    <row r="253" spans="1:11" ht="13.5" outlineLevel="1" x14ac:dyDescent="0.25">
      <c r="A253" s="2"/>
      <c r="B253" s="45" t="s">
        <v>54</v>
      </c>
      <c r="C253" s="3" t="s">
        <v>0</v>
      </c>
      <c r="D253" s="47">
        <v>6.5</v>
      </c>
      <c r="E253" s="47"/>
      <c r="F253" s="197"/>
      <c r="G253" s="197"/>
      <c r="H253" s="197"/>
      <c r="I253" s="197"/>
      <c r="J253" s="179">
        <f t="shared" si="7"/>
        <v>0</v>
      </c>
      <c r="K253" s="31"/>
    </row>
    <row r="254" spans="1:11" ht="13.5" outlineLevel="1" x14ac:dyDescent="0.25">
      <c r="A254" s="2"/>
      <c r="B254" s="45" t="s">
        <v>55</v>
      </c>
      <c r="C254" s="3" t="s">
        <v>0</v>
      </c>
      <c r="D254" s="47">
        <v>6.5</v>
      </c>
      <c r="E254" s="47"/>
      <c r="F254" s="197"/>
      <c r="G254" s="197"/>
      <c r="H254" s="197"/>
      <c r="I254" s="197"/>
      <c r="J254" s="179">
        <f t="shared" si="7"/>
        <v>0</v>
      </c>
      <c r="K254" s="31"/>
    </row>
    <row r="255" spans="1:11" ht="13.5" outlineLevel="1" x14ac:dyDescent="0.25">
      <c r="A255" s="2"/>
      <c r="B255" s="45" t="s">
        <v>49</v>
      </c>
      <c r="C255" s="3" t="s">
        <v>28</v>
      </c>
      <c r="D255" s="47">
        <v>1</v>
      </c>
      <c r="E255" s="47"/>
      <c r="F255" s="197"/>
      <c r="G255" s="197"/>
      <c r="H255" s="197"/>
      <c r="I255" s="197"/>
      <c r="J255" s="179">
        <f t="shared" si="7"/>
        <v>0</v>
      </c>
      <c r="K255" s="31"/>
    </row>
    <row r="256" spans="1:11" ht="13.5" outlineLevel="1" x14ac:dyDescent="0.25">
      <c r="A256" s="2" t="s">
        <v>88</v>
      </c>
      <c r="B256" s="131" t="s">
        <v>100</v>
      </c>
      <c r="C256" s="71" t="s">
        <v>30</v>
      </c>
      <c r="D256" s="72">
        <v>35.299999999999997</v>
      </c>
      <c r="E256" s="72"/>
      <c r="F256" s="197"/>
      <c r="G256" s="197"/>
      <c r="H256" s="197"/>
      <c r="I256" s="197"/>
      <c r="J256" s="179">
        <f t="shared" si="7"/>
        <v>0</v>
      </c>
      <c r="K256" s="31"/>
    </row>
    <row r="257" spans="1:11" ht="13.5" outlineLevel="1" x14ac:dyDescent="0.25">
      <c r="A257" s="2"/>
      <c r="B257" s="48" t="s">
        <v>48</v>
      </c>
      <c r="C257" s="49" t="s">
        <v>25</v>
      </c>
      <c r="D257" s="50">
        <v>37.5</v>
      </c>
      <c r="E257" s="50"/>
      <c r="F257" s="197"/>
      <c r="G257" s="197"/>
      <c r="H257" s="197"/>
      <c r="I257" s="197"/>
      <c r="J257" s="179">
        <f t="shared" si="7"/>
        <v>0</v>
      </c>
      <c r="K257" s="31"/>
    </row>
    <row r="258" spans="1:11" ht="13.5" outlineLevel="1" x14ac:dyDescent="0.25">
      <c r="A258" s="2"/>
      <c r="B258" s="45" t="s">
        <v>53</v>
      </c>
      <c r="C258" s="3" t="s">
        <v>0</v>
      </c>
      <c r="D258" s="47">
        <v>6.5</v>
      </c>
      <c r="E258" s="47"/>
      <c r="F258" s="197"/>
      <c r="G258" s="197"/>
      <c r="H258" s="197"/>
      <c r="I258" s="197"/>
      <c r="J258" s="179">
        <f t="shared" si="7"/>
        <v>0</v>
      </c>
      <c r="K258" s="31"/>
    </row>
    <row r="259" spans="1:11" ht="13.5" outlineLevel="1" x14ac:dyDescent="0.25">
      <c r="A259" s="2"/>
      <c r="B259" s="45" t="s">
        <v>54</v>
      </c>
      <c r="C259" s="3" t="s">
        <v>0</v>
      </c>
      <c r="D259" s="47">
        <v>6.5</v>
      </c>
      <c r="E259" s="47"/>
      <c r="F259" s="197"/>
      <c r="G259" s="197"/>
      <c r="H259" s="197"/>
      <c r="I259" s="197"/>
      <c r="J259" s="179">
        <f t="shared" si="7"/>
        <v>0</v>
      </c>
      <c r="K259" s="31"/>
    </row>
    <row r="260" spans="1:11" ht="13.5" outlineLevel="1" x14ac:dyDescent="0.25">
      <c r="A260" s="2"/>
      <c r="B260" s="45" t="s">
        <v>55</v>
      </c>
      <c r="C260" s="3" t="s">
        <v>0</v>
      </c>
      <c r="D260" s="47">
        <v>6.5</v>
      </c>
      <c r="E260" s="47"/>
      <c r="F260" s="197"/>
      <c r="G260" s="197"/>
      <c r="H260" s="197"/>
      <c r="I260" s="197"/>
      <c r="J260" s="179">
        <f t="shared" si="7"/>
        <v>0</v>
      </c>
      <c r="K260" s="31"/>
    </row>
    <row r="261" spans="1:11" ht="13.5" outlineLevel="1" x14ac:dyDescent="0.25">
      <c r="A261" s="2"/>
      <c r="B261" s="45" t="s">
        <v>49</v>
      </c>
      <c r="C261" s="3" t="s">
        <v>28</v>
      </c>
      <c r="D261" s="47">
        <v>1</v>
      </c>
      <c r="E261" s="47"/>
      <c r="F261" s="197"/>
      <c r="G261" s="197"/>
      <c r="H261" s="197"/>
      <c r="I261" s="197"/>
      <c r="J261" s="179">
        <f t="shared" si="7"/>
        <v>0</v>
      </c>
      <c r="K261" s="31"/>
    </row>
    <row r="262" spans="1:11" ht="13.5" outlineLevel="1" x14ac:dyDescent="0.25">
      <c r="A262" s="2"/>
      <c r="B262" s="48" t="s">
        <v>50</v>
      </c>
      <c r="C262" s="49" t="s">
        <v>28</v>
      </c>
      <c r="D262" s="50">
        <v>14</v>
      </c>
      <c r="E262" s="50"/>
      <c r="F262" s="197"/>
      <c r="G262" s="197"/>
      <c r="H262" s="197"/>
      <c r="I262" s="197"/>
      <c r="J262" s="179">
        <f t="shared" si="7"/>
        <v>0</v>
      </c>
      <c r="K262" s="31"/>
    </row>
    <row r="263" spans="1:11" ht="13.5" outlineLevel="1" x14ac:dyDescent="0.25">
      <c r="A263" s="2" t="s">
        <v>89</v>
      </c>
      <c r="B263" s="131" t="s">
        <v>99</v>
      </c>
      <c r="C263" s="3" t="s">
        <v>30</v>
      </c>
      <c r="D263" s="54">
        <v>29.03</v>
      </c>
      <c r="E263" s="54"/>
      <c r="F263" s="197"/>
      <c r="G263" s="197"/>
      <c r="H263" s="197"/>
      <c r="I263" s="197"/>
      <c r="J263" s="179">
        <f t="shared" si="7"/>
        <v>0</v>
      </c>
      <c r="K263" s="31"/>
    </row>
    <row r="264" spans="1:11" ht="13.5" outlineLevel="1" x14ac:dyDescent="0.25">
      <c r="A264" s="2"/>
      <c r="B264" s="48" t="s">
        <v>95</v>
      </c>
      <c r="C264" s="49" t="s">
        <v>25</v>
      </c>
      <c r="D264" s="50">
        <v>31.05</v>
      </c>
      <c r="E264" s="50"/>
      <c r="F264" s="197"/>
      <c r="G264" s="197"/>
      <c r="H264" s="197"/>
      <c r="I264" s="197"/>
      <c r="J264" s="179">
        <f t="shared" si="7"/>
        <v>0</v>
      </c>
      <c r="K264" s="31"/>
    </row>
    <row r="265" spans="1:11" ht="13.5" outlineLevel="1" x14ac:dyDescent="0.25">
      <c r="A265" s="2"/>
      <c r="B265" s="45" t="s">
        <v>53</v>
      </c>
      <c r="C265" s="3" t="s">
        <v>0</v>
      </c>
      <c r="D265" s="47">
        <v>6.5</v>
      </c>
      <c r="E265" s="47"/>
      <c r="F265" s="197"/>
      <c r="G265" s="197"/>
      <c r="H265" s="197"/>
      <c r="I265" s="197"/>
      <c r="J265" s="179">
        <f t="shared" si="7"/>
        <v>0</v>
      </c>
      <c r="K265" s="31"/>
    </row>
    <row r="266" spans="1:11" ht="13.5" outlineLevel="1" x14ac:dyDescent="0.25">
      <c r="A266" s="2"/>
      <c r="B266" s="45" t="s">
        <v>54</v>
      </c>
      <c r="C266" s="3" t="s">
        <v>0</v>
      </c>
      <c r="D266" s="47">
        <v>6.5</v>
      </c>
      <c r="E266" s="47"/>
      <c r="F266" s="197"/>
      <c r="G266" s="197"/>
      <c r="H266" s="197"/>
      <c r="I266" s="197"/>
      <c r="J266" s="179">
        <f t="shared" si="7"/>
        <v>0</v>
      </c>
      <c r="K266" s="31"/>
    </row>
    <row r="267" spans="1:11" ht="13.5" outlineLevel="1" x14ac:dyDescent="0.25">
      <c r="A267" s="2"/>
      <c r="B267" s="45" t="s">
        <v>55</v>
      </c>
      <c r="C267" s="3" t="s">
        <v>0</v>
      </c>
      <c r="D267" s="47">
        <v>6.5</v>
      </c>
      <c r="E267" s="47"/>
      <c r="F267" s="197"/>
      <c r="G267" s="197"/>
      <c r="H267" s="197"/>
      <c r="I267" s="197"/>
      <c r="J267" s="179">
        <f t="shared" si="7"/>
        <v>0</v>
      </c>
      <c r="K267" s="31"/>
    </row>
    <row r="268" spans="1:11" ht="13.5" outlineLevel="1" x14ac:dyDescent="0.25">
      <c r="A268" s="2"/>
      <c r="B268" s="45" t="s">
        <v>49</v>
      </c>
      <c r="C268" s="3" t="s">
        <v>28</v>
      </c>
      <c r="D268" s="47">
        <v>1</v>
      </c>
      <c r="E268" s="47"/>
      <c r="F268" s="197"/>
      <c r="G268" s="197"/>
      <c r="H268" s="197"/>
      <c r="I268" s="197"/>
      <c r="J268" s="179">
        <f t="shared" si="7"/>
        <v>0</v>
      </c>
      <c r="K268" s="31"/>
    </row>
    <row r="269" spans="1:11" ht="13.5" outlineLevel="1" x14ac:dyDescent="0.25">
      <c r="A269" s="2" t="s">
        <v>90</v>
      </c>
      <c r="B269" s="131" t="s">
        <v>98</v>
      </c>
      <c r="C269" s="71" t="s">
        <v>30</v>
      </c>
      <c r="D269" s="72">
        <v>54.28</v>
      </c>
      <c r="E269" s="72"/>
      <c r="F269" s="197"/>
      <c r="G269" s="197"/>
      <c r="H269" s="197"/>
      <c r="I269" s="197"/>
      <c r="J269" s="179">
        <f t="shared" si="7"/>
        <v>0</v>
      </c>
      <c r="K269" s="31"/>
    </row>
    <row r="270" spans="1:11" ht="13.5" outlineLevel="1" x14ac:dyDescent="0.25">
      <c r="A270" s="2"/>
      <c r="B270" s="48" t="s">
        <v>95</v>
      </c>
      <c r="C270" s="49" t="s">
        <v>25</v>
      </c>
      <c r="D270" s="50">
        <v>56.3</v>
      </c>
      <c r="E270" s="50"/>
      <c r="F270" s="197"/>
      <c r="G270" s="197"/>
      <c r="H270" s="197"/>
      <c r="I270" s="197"/>
      <c r="J270" s="179">
        <f t="shared" si="7"/>
        <v>0</v>
      </c>
      <c r="K270" s="31"/>
    </row>
    <row r="271" spans="1:11" ht="13.5" outlineLevel="1" x14ac:dyDescent="0.25">
      <c r="A271" s="2"/>
      <c r="B271" s="45" t="s">
        <v>53</v>
      </c>
      <c r="C271" s="3" t="s">
        <v>0</v>
      </c>
      <c r="D271" s="47">
        <v>6.5</v>
      </c>
      <c r="E271" s="47"/>
      <c r="F271" s="197"/>
      <c r="G271" s="197"/>
      <c r="H271" s="197"/>
      <c r="I271" s="197"/>
      <c r="J271" s="179">
        <f t="shared" si="7"/>
        <v>0</v>
      </c>
      <c r="K271" s="31"/>
    </row>
    <row r="272" spans="1:11" ht="13.5" outlineLevel="1" x14ac:dyDescent="0.25">
      <c r="A272" s="2"/>
      <c r="B272" s="45" t="s">
        <v>54</v>
      </c>
      <c r="C272" s="3" t="s">
        <v>0</v>
      </c>
      <c r="D272" s="47">
        <v>6.5</v>
      </c>
      <c r="E272" s="47"/>
      <c r="F272" s="197"/>
      <c r="G272" s="197"/>
      <c r="H272" s="197"/>
      <c r="I272" s="197"/>
      <c r="J272" s="179">
        <f t="shared" si="7"/>
        <v>0</v>
      </c>
      <c r="K272" s="31"/>
    </row>
    <row r="273" spans="1:11" ht="13.5" outlineLevel="1" x14ac:dyDescent="0.25">
      <c r="A273" s="2"/>
      <c r="B273" s="45" t="s">
        <v>55</v>
      </c>
      <c r="C273" s="3" t="s">
        <v>0</v>
      </c>
      <c r="D273" s="47">
        <v>6.5</v>
      </c>
      <c r="E273" s="47"/>
      <c r="F273" s="197"/>
      <c r="G273" s="197"/>
      <c r="H273" s="197"/>
      <c r="I273" s="197"/>
      <c r="J273" s="179">
        <f t="shared" si="7"/>
        <v>0</v>
      </c>
      <c r="K273" s="31"/>
    </row>
    <row r="274" spans="1:11" ht="13.5" outlineLevel="1" x14ac:dyDescent="0.25">
      <c r="A274" s="2"/>
      <c r="B274" s="45" t="s">
        <v>49</v>
      </c>
      <c r="C274" s="3" t="s">
        <v>28</v>
      </c>
      <c r="D274" s="47">
        <v>1</v>
      </c>
      <c r="E274" s="47"/>
      <c r="F274" s="197"/>
      <c r="G274" s="197"/>
      <c r="H274" s="197"/>
      <c r="I274" s="197"/>
      <c r="J274" s="179">
        <f t="shared" si="7"/>
        <v>0</v>
      </c>
      <c r="K274" s="31"/>
    </row>
    <row r="275" spans="1:11" ht="13.5" outlineLevel="1" x14ac:dyDescent="0.25">
      <c r="A275" s="2" t="s">
        <v>91</v>
      </c>
      <c r="B275" s="131" t="s">
        <v>97</v>
      </c>
      <c r="C275" s="3" t="s">
        <v>30</v>
      </c>
      <c r="D275" s="54">
        <v>18.03</v>
      </c>
      <c r="E275" s="54"/>
      <c r="F275" s="197"/>
      <c r="G275" s="197"/>
      <c r="H275" s="197"/>
      <c r="I275" s="197"/>
      <c r="J275" s="179">
        <f t="shared" si="7"/>
        <v>0</v>
      </c>
      <c r="K275" s="31"/>
    </row>
    <row r="276" spans="1:11" ht="13.5" outlineLevel="1" x14ac:dyDescent="0.25">
      <c r="A276" s="2"/>
      <c r="B276" s="48" t="s">
        <v>95</v>
      </c>
      <c r="C276" s="49" t="s">
        <v>25</v>
      </c>
      <c r="D276" s="50">
        <v>20.05</v>
      </c>
      <c r="E276" s="50"/>
      <c r="F276" s="197"/>
      <c r="G276" s="197"/>
      <c r="H276" s="197"/>
      <c r="I276" s="197"/>
      <c r="J276" s="179">
        <f t="shared" si="7"/>
        <v>0</v>
      </c>
      <c r="K276" s="31"/>
    </row>
    <row r="277" spans="1:11" ht="13.5" outlineLevel="1" x14ac:dyDescent="0.25">
      <c r="A277" s="2"/>
      <c r="B277" s="45" t="s">
        <v>53</v>
      </c>
      <c r="C277" s="3" t="s">
        <v>0</v>
      </c>
      <c r="D277" s="47">
        <v>6.5</v>
      </c>
      <c r="E277" s="47"/>
      <c r="F277" s="197"/>
      <c r="G277" s="197"/>
      <c r="H277" s="197"/>
      <c r="I277" s="197"/>
      <c r="J277" s="179">
        <f t="shared" si="7"/>
        <v>0</v>
      </c>
      <c r="K277" s="31"/>
    </row>
    <row r="278" spans="1:11" ht="13.5" outlineLevel="1" x14ac:dyDescent="0.25">
      <c r="A278" s="2"/>
      <c r="B278" s="45" t="s">
        <v>54</v>
      </c>
      <c r="C278" s="3" t="s">
        <v>0</v>
      </c>
      <c r="D278" s="47">
        <v>6.5</v>
      </c>
      <c r="E278" s="47"/>
      <c r="F278" s="197"/>
      <c r="G278" s="197"/>
      <c r="H278" s="197"/>
      <c r="I278" s="197"/>
      <c r="J278" s="179">
        <f t="shared" si="7"/>
        <v>0</v>
      </c>
      <c r="K278" s="31"/>
    </row>
    <row r="279" spans="1:11" ht="13.5" outlineLevel="1" x14ac:dyDescent="0.25">
      <c r="A279" s="2"/>
      <c r="B279" s="45" t="s">
        <v>55</v>
      </c>
      <c r="C279" s="3" t="s">
        <v>0</v>
      </c>
      <c r="D279" s="47">
        <v>6.5</v>
      </c>
      <c r="E279" s="47"/>
      <c r="F279" s="197"/>
      <c r="G279" s="197"/>
      <c r="H279" s="197"/>
      <c r="I279" s="197"/>
      <c r="J279" s="179">
        <f t="shared" si="7"/>
        <v>0</v>
      </c>
      <c r="K279" s="31"/>
    </row>
    <row r="280" spans="1:11" ht="13.5" outlineLevel="1" x14ac:dyDescent="0.25">
      <c r="A280" s="2"/>
      <c r="B280" s="45" t="s">
        <v>49</v>
      </c>
      <c r="C280" s="3" t="s">
        <v>28</v>
      </c>
      <c r="D280" s="47">
        <v>1</v>
      </c>
      <c r="E280" s="47"/>
      <c r="F280" s="197"/>
      <c r="G280" s="197"/>
      <c r="H280" s="197"/>
      <c r="I280" s="197"/>
      <c r="J280" s="179">
        <f t="shared" si="7"/>
        <v>0</v>
      </c>
      <c r="K280" s="31"/>
    </row>
    <row r="281" spans="1:11" ht="13.5" outlineLevel="1" x14ac:dyDescent="0.25">
      <c r="A281" s="2" t="s">
        <v>91</v>
      </c>
      <c r="B281" s="131" t="s">
        <v>96</v>
      </c>
      <c r="C281" s="3" t="s">
        <v>30</v>
      </c>
      <c r="D281" s="54">
        <v>11.73</v>
      </c>
      <c r="E281" s="54"/>
      <c r="F281" s="197"/>
      <c r="G281" s="197"/>
      <c r="H281" s="197"/>
      <c r="I281" s="197"/>
      <c r="J281" s="179">
        <f t="shared" si="7"/>
        <v>0</v>
      </c>
      <c r="K281" s="31"/>
    </row>
    <row r="282" spans="1:11" ht="13.5" outlineLevel="1" x14ac:dyDescent="0.25">
      <c r="A282" s="2"/>
      <c r="B282" s="48" t="s">
        <v>95</v>
      </c>
      <c r="C282" s="49" t="s">
        <v>25</v>
      </c>
      <c r="D282" s="50">
        <v>12</v>
      </c>
      <c r="E282" s="50"/>
      <c r="F282" s="197"/>
      <c r="G282" s="197"/>
      <c r="H282" s="197"/>
      <c r="I282" s="197"/>
      <c r="J282" s="179">
        <f t="shared" si="7"/>
        <v>0</v>
      </c>
      <c r="K282" s="31"/>
    </row>
    <row r="283" spans="1:11" ht="13.5" outlineLevel="1" x14ac:dyDescent="0.25">
      <c r="A283" s="2"/>
      <c r="B283" s="45" t="s">
        <v>53</v>
      </c>
      <c r="C283" s="3" t="s">
        <v>0</v>
      </c>
      <c r="D283" s="47">
        <v>6.5</v>
      </c>
      <c r="E283" s="47"/>
      <c r="F283" s="197"/>
      <c r="G283" s="197"/>
      <c r="H283" s="197"/>
      <c r="I283" s="197"/>
      <c r="J283" s="179">
        <f t="shared" si="7"/>
        <v>0</v>
      </c>
      <c r="K283" s="31"/>
    </row>
    <row r="284" spans="1:11" ht="13.5" outlineLevel="1" x14ac:dyDescent="0.25">
      <c r="A284" s="2"/>
      <c r="B284" s="45" t="s">
        <v>54</v>
      </c>
      <c r="C284" s="3" t="s">
        <v>0</v>
      </c>
      <c r="D284" s="47">
        <v>6.5</v>
      </c>
      <c r="E284" s="47"/>
      <c r="F284" s="197"/>
      <c r="G284" s="197"/>
      <c r="H284" s="197"/>
      <c r="I284" s="197"/>
      <c r="J284" s="179">
        <f t="shared" si="7"/>
        <v>0</v>
      </c>
      <c r="K284" s="31"/>
    </row>
    <row r="285" spans="1:11" ht="13.5" outlineLevel="1" x14ac:dyDescent="0.25">
      <c r="A285" s="2"/>
      <c r="B285" s="45" t="s">
        <v>55</v>
      </c>
      <c r="C285" s="3" t="s">
        <v>0</v>
      </c>
      <c r="D285" s="47">
        <v>6.5</v>
      </c>
      <c r="E285" s="47"/>
      <c r="F285" s="197"/>
      <c r="G285" s="197"/>
      <c r="H285" s="197"/>
      <c r="I285" s="197"/>
      <c r="J285" s="179">
        <f t="shared" si="7"/>
        <v>0</v>
      </c>
      <c r="K285" s="31"/>
    </row>
    <row r="286" spans="1:11" ht="13.5" outlineLevel="1" x14ac:dyDescent="0.25">
      <c r="A286" s="2"/>
      <c r="B286" s="45" t="s">
        <v>49</v>
      </c>
      <c r="C286" s="3" t="s">
        <v>28</v>
      </c>
      <c r="D286" s="47">
        <v>1</v>
      </c>
      <c r="E286" s="47"/>
      <c r="F286" s="197"/>
      <c r="G286" s="197"/>
      <c r="H286" s="197"/>
      <c r="I286" s="197"/>
      <c r="J286" s="179">
        <f t="shared" si="7"/>
        <v>0</v>
      </c>
      <c r="K286" s="31"/>
    </row>
    <row r="287" spans="1:11" ht="25.5" outlineLevel="1" x14ac:dyDescent="0.25">
      <c r="A287" s="2" t="s">
        <v>93</v>
      </c>
      <c r="B287" s="131" t="s">
        <v>144</v>
      </c>
      <c r="C287" s="56" t="s">
        <v>25</v>
      </c>
      <c r="D287" s="138">
        <v>23.5</v>
      </c>
      <c r="E287" s="138"/>
      <c r="F287" s="197"/>
      <c r="G287" s="197"/>
      <c r="H287" s="197"/>
      <c r="I287" s="197"/>
      <c r="J287" s="179">
        <f t="shared" si="7"/>
        <v>0</v>
      </c>
      <c r="K287" s="31"/>
    </row>
    <row r="288" spans="1:11" ht="13.5" outlineLevel="1" x14ac:dyDescent="0.25">
      <c r="A288" s="2"/>
      <c r="B288" s="48" t="s">
        <v>94</v>
      </c>
      <c r="C288" s="49" t="s">
        <v>25</v>
      </c>
      <c r="D288" s="50">
        <v>9.5</v>
      </c>
      <c r="E288" s="50"/>
      <c r="F288" s="197"/>
      <c r="G288" s="197"/>
      <c r="H288" s="197"/>
      <c r="I288" s="197"/>
      <c r="J288" s="179">
        <f t="shared" si="7"/>
        <v>0</v>
      </c>
      <c r="K288" s="31"/>
    </row>
    <row r="289" spans="1:11" ht="13.5" outlineLevel="1" x14ac:dyDescent="0.25">
      <c r="A289" s="2"/>
      <c r="B289" s="48" t="s">
        <v>95</v>
      </c>
      <c r="C289" s="49" t="s">
        <v>25</v>
      </c>
      <c r="D289" s="50">
        <v>15</v>
      </c>
      <c r="E289" s="50"/>
      <c r="F289" s="197"/>
      <c r="G289" s="197"/>
      <c r="H289" s="197"/>
      <c r="I289" s="197"/>
      <c r="J289" s="179">
        <f t="shared" si="7"/>
        <v>0</v>
      </c>
      <c r="K289" s="31"/>
    </row>
    <row r="290" spans="1:11" ht="13.5" outlineLevel="1" x14ac:dyDescent="0.25">
      <c r="A290" s="2" t="s">
        <v>103</v>
      </c>
      <c r="B290" s="45" t="s">
        <v>31</v>
      </c>
      <c r="C290" s="3" t="s">
        <v>25</v>
      </c>
      <c r="D290" s="37">
        <f>D287+D281+D275+D269+D263+D256+D249+D243+D237+D231+D225+D219</f>
        <v>305.87</v>
      </c>
      <c r="E290" s="73"/>
      <c r="F290" s="197"/>
      <c r="G290" s="197"/>
      <c r="H290" s="197"/>
      <c r="I290" s="197"/>
      <c r="J290" s="179">
        <f t="shared" si="7"/>
        <v>0</v>
      </c>
      <c r="K290" s="31"/>
    </row>
    <row r="291" spans="1:11" ht="13.5" x14ac:dyDescent="0.25">
      <c r="A291" s="43" t="s">
        <v>229</v>
      </c>
      <c r="B291" s="130" t="s">
        <v>223</v>
      </c>
      <c r="C291" s="118" t="s">
        <v>10</v>
      </c>
      <c r="D291" s="172">
        <f>D296</f>
        <v>167</v>
      </c>
      <c r="E291" s="129"/>
      <c r="F291" s="197">
        <f>H291/D291</f>
        <v>4599.6702754491016</v>
      </c>
      <c r="G291" s="197">
        <f>I291/D291</f>
        <v>1319.5612455089813</v>
      </c>
      <c r="H291" s="197">
        <f>640120.78*1.2</f>
        <v>768144.93599999999</v>
      </c>
      <c r="I291" s="197">
        <f>823759.72*1.2-H291</f>
        <v>220366.72799999989</v>
      </c>
      <c r="J291" s="179">
        <f t="shared" si="7"/>
        <v>988511.66399999987</v>
      </c>
      <c r="K291" s="31"/>
    </row>
    <row r="292" spans="1:11" ht="13.5" outlineLevel="1" x14ac:dyDescent="0.25">
      <c r="A292" s="2" t="s">
        <v>240</v>
      </c>
      <c r="B292" s="84" t="s">
        <v>210</v>
      </c>
      <c r="C292" s="162" t="s">
        <v>0</v>
      </c>
      <c r="D292" s="173">
        <v>223.78</v>
      </c>
      <c r="E292" s="84" t="s">
        <v>225</v>
      </c>
      <c r="F292" s="31"/>
      <c r="G292" s="31"/>
      <c r="H292" s="31"/>
      <c r="I292" s="31"/>
      <c r="J292" s="31"/>
      <c r="K292" s="31"/>
    </row>
    <row r="293" spans="1:11" outlineLevel="1" x14ac:dyDescent="0.25">
      <c r="A293" s="127"/>
      <c r="B293" s="146" t="s">
        <v>212</v>
      </c>
      <c r="C293" s="147" t="s">
        <v>0</v>
      </c>
      <c r="D293" s="174">
        <v>246.15799999999999</v>
      </c>
      <c r="E293" s="128"/>
      <c r="F293" s="112"/>
      <c r="G293" s="112"/>
      <c r="H293" s="112"/>
      <c r="I293" s="112"/>
      <c r="J293" s="112"/>
      <c r="K293" s="145"/>
    </row>
    <row r="294" spans="1:11" outlineLevel="1" x14ac:dyDescent="0.25">
      <c r="A294" s="2" t="s">
        <v>241</v>
      </c>
      <c r="B294" s="84" t="s">
        <v>213</v>
      </c>
      <c r="C294" s="126" t="s">
        <v>0</v>
      </c>
      <c r="D294" s="167">
        <v>41.75</v>
      </c>
      <c r="E294" s="128" t="s">
        <v>226</v>
      </c>
      <c r="F294" s="112"/>
      <c r="G294" s="112"/>
      <c r="H294" s="112"/>
      <c r="I294" s="112"/>
      <c r="J294" s="112"/>
      <c r="K294" s="145"/>
    </row>
    <row r="295" spans="1:11" ht="25.5" outlineLevel="1" x14ac:dyDescent="0.25">
      <c r="A295" s="2"/>
      <c r="B295" s="146" t="s">
        <v>214</v>
      </c>
      <c r="C295" s="147" t="s">
        <v>0</v>
      </c>
      <c r="D295" s="148">
        <v>52.604999999999997</v>
      </c>
      <c r="E295" s="128"/>
      <c r="F295" s="112"/>
      <c r="G295" s="112"/>
      <c r="H295" s="112"/>
      <c r="I295" s="112"/>
      <c r="J295" s="112"/>
      <c r="K295" s="145"/>
    </row>
    <row r="296" spans="1:11" ht="25.5" outlineLevel="1" x14ac:dyDescent="0.25">
      <c r="A296" s="2" t="s">
        <v>242</v>
      </c>
      <c r="B296" s="84" t="s">
        <v>215</v>
      </c>
      <c r="C296" s="126" t="s">
        <v>10</v>
      </c>
      <c r="D296" s="167">
        <v>167</v>
      </c>
      <c r="E296" s="128"/>
      <c r="F296" s="112"/>
      <c r="G296" s="112"/>
      <c r="H296" s="112"/>
      <c r="I296" s="112"/>
      <c r="J296" s="112"/>
      <c r="K296" s="145"/>
    </row>
    <row r="297" spans="1:11" outlineLevel="1" x14ac:dyDescent="0.25">
      <c r="A297" s="2"/>
      <c r="B297" s="146" t="s">
        <v>216</v>
      </c>
      <c r="C297" s="147" t="s">
        <v>217</v>
      </c>
      <c r="D297" s="175">
        <v>0.1169</v>
      </c>
      <c r="E297" s="128"/>
      <c r="F297" s="112"/>
      <c r="G297" s="112"/>
      <c r="H297" s="112"/>
      <c r="I297" s="112"/>
      <c r="J297" s="112"/>
      <c r="K297" s="145"/>
    </row>
    <row r="298" spans="1:11" outlineLevel="1" x14ac:dyDescent="0.25">
      <c r="A298" s="2"/>
      <c r="B298" s="146" t="s">
        <v>218</v>
      </c>
      <c r="C298" s="147" t="s">
        <v>217</v>
      </c>
      <c r="D298" s="175">
        <v>24.2484</v>
      </c>
      <c r="E298" s="128" t="s">
        <v>227</v>
      </c>
      <c r="F298" s="112"/>
      <c r="G298" s="112"/>
      <c r="H298" s="112"/>
      <c r="I298" s="112"/>
      <c r="J298" s="112"/>
      <c r="K298" s="145"/>
    </row>
    <row r="299" spans="1:11" ht="25.5" outlineLevel="1" x14ac:dyDescent="0.25">
      <c r="A299" s="2" t="s">
        <v>243</v>
      </c>
      <c r="B299" s="84" t="s">
        <v>220</v>
      </c>
      <c r="C299" s="126" t="s">
        <v>10</v>
      </c>
      <c r="D299" s="167">
        <v>167</v>
      </c>
      <c r="E299" s="128"/>
      <c r="F299" s="112"/>
      <c r="G299" s="112"/>
      <c r="H299" s="112"/>
      <c r="I299" s="112"/>
      <c r="J299" s="112"/>
      <c r="K299" s="145"/>
    </row>
    <row r="300" spans="1:11" outlineLevel="1" x14ac:dyDescent="0.25">
      <c r="A300" s="2"/>
      <c r="B300" s="146" t="s">
        <v>216</v>
      </c>
      <c r="C300" s="147" t="s">
        <v>217</v>
      </c>
      <c r="D300" s="175">
        <v>0.1169</v>
      </c>
      <c r="E300" s="128"/>
      <c r="F300" s="112"/>
      <c r="G300" s="112"/>
      <c r="H300" s="112"/>
      <c r="I300" s="112"/>
      <c r="J300" s="112"/>
      <c r="K300" s="145"/>
    </row>
    <row r="301" spans="1:11" outlineLevel="1" x14ac:dyDescent="0.25">
      <c r="A301" s="127"/>
      <c r="B301" s="146" t="s">
        <v>221</v>
      </c>
      <c r="C301" s="147" t="s">
        <v>217</v>
      </c>
      <c r="D301" s="175">
        <v>16.165600000000001</v>
      </c>
      <c r="E301" s="128" t="s">
        <v>228</v>
      </c>
      <c r="F301" s="112"/>
      <c r="G301" s="112"/>
      <c r="H301" s="112"/>
      <c r="I301" s="112"/>
      <c r="J301" s="112"/>
      <c r="K301" s="145"/>
    </row>
  </sheetData>
  <mergeCells count="5">
    <mergeCell ref="A2:D2"/>
    <mergeCell ref="A1:D1"/>
    <mergeCell ref="A3:K3"/>
    <mergeCell ref="A4:D4"/>
    <mergeCell ref="A5:D5"/>
  </mergeCells>
  <phoneticPr fontId="2" type="noConversion"/>
  <pageMargins left="0.39370078740157483" right="0.19685039370078741" top="0.39370078740157483" bottom="0.19685039370078741" header="0.51181102362204722" footer="0.15748031496062992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ВОР 07.07.25</vt:lpstr>
      <vt:lpstr>'ВОР 07.07.25'!Область_печати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Розанов Дмитрий Юрьевич</dc:creator>
  <cp:lastModifiedBy>Багалей Юрий Александрович</cp:lastModifiedBy>
  <cp:lastPrinted>2025-06-06T07:07:54Z</cp:lastPrinted>
  <dcterms:created xsi:type="dcterms:W3CDTF">2015-06-05T18:19:34Z</dcterms:created>
  <dcterms:modified xsi:type="dcterms:W3CDTF">2025-07-09T06:37:22Z</dcterms:modified>
</cp:coreProperties>
</file>