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09_ЖК Соколиная гора\00_Тендеры\Тендер 707_Устр-во распорной системы шпунта и котлован и водопонижение\"/>
    </mc:Choice>
  </mc:AlternateContent>
  <xr:revisionPtr revIDLastSave="0" documentId="13_ncr:1_{75761BB1-14A4-4534-9E81-30B783DCF3C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НМЦК- черн- 19.12 (2)" sheetId="8" r:id="rId1"/>
    <sheet name="ВОР на всё (комм. Малев 05.12.)" sheetId="3" r:id="rId2"/>
    <sheet name="ВОР на всё" sheetId="4" r:id="rId3"/>
    <sheet name="арматура" sheetId="6" r:id="rId4"/>
    <sheet name="НМЦК- корр. 28.12.24" sheetId="9" r:id="rId5"/>
  </sheets>
  <definedNames>
    <definedName name="_xlnm._FilterDatabase" localSheetId="4" hidden="1">'НМЦК- корр. 28.12.24'!$A$21:$M$488</definedName>
    <definedName name="_xlnm._FilterDatabase" localSheetId="0" hidden="1">'НМЦК- черн- 19.12 (2)'!$A$21:$L$488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4" i="9" l="1"/>
  <c r="G467" i="9" l="1"/>
  <c r="H85" i="9"/>
  <c r="G85" i="9"/>
  <c r="H316" i="9"/>
  <c r="G316" i="9"/>
  <c r="H306" i="9"/>
  <c r="G306" i="9"/>
  <c r="G189" i="9"/>
  <c r="G153" i="9" s="1"/>
  <c r="H154" i="9"/>
  <c r="H153" i="9" s="1"/>
  <c r="J189" i="9"/>
  <c r="H142" i="9"/>
  <c r="G142" i="9"/>
  <c r="H101" i="9"/>
  <c r="G101" i="9"/>
  <c r="I88" i="9"/>
  <c r="I87" i="9" s="1"/>
  <c r="I90" i="9"/>
  <c r="I89" i="9" s="1"/>
  <c r="I92" i="9"/>
  <c r="I91" i="9" s="1"/>
  <c r="I94" i="9"/>
  <c r="I96" i="9"/>
  <c r="I95" i="9" s="1"/>
  <c r="J87" i="9"/>
  <c r="J88" i="9"/>
  <c r="J89" i="9"/>
  <c r="J90" i="9"/>
  <c r="J91" i="9"/>
  <c r="J92" i="9"/>
  <c r="J93" i="9"/>
  <c r="J94" i="9"/>
  <c r="J95" i="9"/>
  <c r="J96" i="9"/>
  <c r="J97" i="9"/>
  <c r="I86" i="9"/>
  <c r="H74" i="9"/>
  <c r="G74" i="9"/>
  <c r="G76" i="9"/>
  <c r="H76" i="9"/>
  <c r="J72" i="9"/>
  <c r="G71" i="9"/>
  <c r="H71" i="9"/>
  <c r="F71" i="9"/>
  <c r="K94" i="9" l="1"/>
  <c r="K92" i="9"/>
  <c r="K89" i="9"/>
  <c r="K87" i="9"/>
  <c r="K88" i="9"/>
  <c r="K96" i="9"/>
  <c r="K93" i="9"/>
  <c r="K95" i="9"/>
  <c r="K91" i="9"/>
  <c r="K90" i="9"/>
  <c r="J35" i="9" l="1"/>
  <c r="J32" i="9"/>
  <c r="I49" i="9"/>
  <c r="H27" i="9" l="1"/>
  <c r="I61" i="9" l="1"/>
  <c r="I60" i="9" s="1"/>
  <c r="J61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F279" i="9"/>
  <c r="F226" i="9" s="1"/>
  <c r="H100" i="9"/>
  <c r="J100" i="9" s="1"/>
  <c r="I100" i="9"/>
  <c r="J98" i="9"/>
  <c r="J77" i="9"/>
  <c r="J317" i="9"/>
  <c r="I318" i="9"/>
  <c r="J318" i="9"/>
  <c r="K61" i="9" l="1"/>
  <c r="K100" i="9"/>
  <c r="K318" i="9"/>
  <c r="J316" i="9"/>
  <c r="I317" i="9"/>
  <c r="K317" i="9" l="1"/>
  <c r="I316" i="9"/>
  <c r="K316" i="9" s="1"/>
  <c r="G486" i="9" l="1"/>
  <c r="F488" i="9"/>
  <c r="I487" i="9"/>
  <c r="K487" i="9" s="1"/>
  <c r="F486" i="9"/>
  <c r="J486" i="9" s="1"/>
  <c r="I485" i="9"/>
  <c r="K485" i="9" s="1"/>
  <c r="I484" i="9"/>
  <c r="K484" i="9" s="1"/>
  <c r="I483" i="9"/>
  <c r="K483" i="9" s="1"/>
  <c r="F482" i="9"/>
  <c r="J482" i="9" s="1"/>
  <c r="J481" i="9"/>
  <c r="I481" i="9"/>
  <c r="F480" i="9"/>
  <c r="J480" i="9" s="1"/>
  <c r="J479" i="9"/>
  <c r="I479" i="9"/>
  <c r="F478" i="9"/>
  <c r="I478" i="9" s="1"/>
  <c r="J477" i="9"/>
  <c r="I477" i="9"/>
  <c r="J476" i="9"/>
  <c r="I476" i="9"/>
  <c r="J475" i="9"/>
  <c r="I475" i="9"/>
  <c r="H474" i="9"/>
  <c r="H467" i="9" s="1"/>
  <c r="F474" i="9"/>
  <c r="I473" i="9"/>
  <c r="K473" i="9" s="1"/>
  <c r="J472" i="9"/>
  <c r="I472" i="9"/>
  <c r="I471" i="9"/>
  <c r="K471" i="9" s="1"/>
  <c r="J470" i="9"/>
  <c r="I470" i="9"/>
  <c r="K470" i="9" s="1"/>
  <c r="J469" i="9"/>
  <c r="I469" i="9"/>
  <c r="J468" i="9"/>
  <c r="I468" i="9"/>
  <c r="F467" i="9"/>
  <c r="E467" i="9"/>
  <c r="I466" i="9"/>
  <c r="K466" i="9" s="1"/>
  <c r="F465" i="9"/>
  <c r="J465" i="9" s="1"/>
  <c r="F464" i="9"/>
  <c r="I464" i="9" s="1"/>
  <c r="K464" i="9" s="1"/>
  <c r="F463" i="9"/>
  <c r="I463" i="9" s="1"/>
  <c r="K463" i="9" s="1"/>
  <c r="F462" i="9"/>
  <c r="I462" i="9" s="1"/>
  <c r="K462" i="9" s="1"/>
  <c r="F461" i="9"/>
  <c r="I461" i="9" s="1"/>
  <c r="K461" i="9" s="1"/>
  <c r="F460" i="9"/>
  <c r="I460" i="9" s="1"/>
  <c r="K460" i="9" s="1"/>
  <c r="F459" i="9"/>
  <c r="I459" i="9" s="1"/>
  <c r="K459" i="9" s="1"/>
  <c r="F458" i="9"/>
  <c r="I458" i="9" s="1"/>
  <c r="K458" i="9" s="1"/>
  <c r="F457" i="9"/>
  <c r="I457" i="9" s="1"/>
  <c r="K457" i="9" s="1"/>
  <c r="F456" i="9"/>
  <c r="I456" i="9" s="1"/>
  <c r="K456" i="9" s="1"/>
  <c r="F455" i="9"/>
  <c r="I455" i="9" s="1"/>
  <c r="K455" i="9" s="1"/>
  <c r="F454" i="9"/>
  <c r="I454" i="9" s="1"/>
  <c r="I452" i="9"/>
  <c r="K452" i="9" s="1"/>
  <c r="I451" i="9"/>
  <c r="K451" i="9" s="1"/>
  <c r="I450" i="9"/>
  <c r="K450" i="9" s="1"/>
  <c r="I449" i="9"/>
  <c r="K449" i="9" s="1"/>
  <c r="I448" i="9"/>
  <c r="K448" i="9" s="1"/>
  <c r="I447" i="9"/>
  <c r="K447" i="9" s="1"/>
  <c r="F446" i="9"/>
  <c r="J446" i="9" s="1"/>
  <c r="I444" i="9"/>
  <c r="K444" i="9" s="1"/>
  <c r="F443" i="9"/>
  <c r="J443" i="9" s="1"/>
  <c r="F442" i="9"/>
  <c r="I442" i="9" s="1"/>
  <c r="K442" i="9" s="1"/>
  <c r="F441" i="9"/>
  <c r="I441" i="9" s="1"/>
  <c r="K441" i="9" s="1"/>
  <c r="F440" i="9"/>
  <c r="I440" i="9" s="1"/>
  <c r="K440" i="9" s="1"/>
  <c r="F439" i="9"/>
  <c r="I439" i="9" s="1"/>
  <c r="K439" i="9" s="1"/>
  <c r="F438" i="9"/>
  <c r="I438" i="9" s="1"/>
  <c r="K438" i="9" s="1"/>
  <c r="F437" i="9"/>
  <c r="I437" i="9" s="1"/>
  <c r="K437" i="9" s="1"/>
  <c r="F436" i="9"/>
  <c r="I436" i="9" s="1"/>
  <c r="K436" i="9" s="1"/>
  <c r="F435" i="9"/>
  <c r="I435" i="9" s="1"/>
  <c r="K435" i="9" s="1"/>
  <c r="F434" i="9"/>
  <c r="I434" i="9" s="1"/>
  <c r="K434" i="9" s="1"/>
  <c r="F433" i="9"/>
  <c r="F432" i="9"/>
  <c r="I432" i="9" s="1"/>
  <c r="I430" i="9"/>
  <c r="K430" i="9" s="1"/>
  <c r="I429" i="9"/>
  <c r="K429" i="9" s="1"/>
  <c r="I428" i="9"/>
  <c r="K428" i="9" s="1"/>
  <c r="I427" i="9"/>
  <c r="K427" i="9" s="1"/>
  <c r="I426" i="9"/>
  <c r="K426" i="9" s="1"/>
  <c r="I425" i="9"/>
  <c r="F424" i="9"/>
  <c r="E424" i="9"/>
  <c r="I422" i="9"/>
  <c r="I421" i="9" s="1"/>
  <c r="J421" i="9"/>
  <c r="F420" i="9"/>
  <c r="I420" i="9" s="1"/>
  <c r="K420" i="9" s="1"/>
  <c r="F419" i="9"/>
  <c r="I419" i="9" s="1"/>
  <c r="K419" i="9" s="1"/>
  <c r="F418" i="9"/>
  <c r="I418" i="9" s="1"/>
  <c r="K418" i="9" s="1"/>
  <c r="F417" i="9"/>
  <c r="I417" i="9" s="1"/>
  <c r="F416" i="9"/>
  <c r="I416" i="9" s="1"/>
  <c r="K416" i="9" s="1"/>
  <c r="I414" i="9"/>
  <c r="K414" i="9" s="1"/>
  <c r="I413" i="9"/>
  <c r="K413" i="9" s="1"/>
  <c r="I412" i="9"/>
  <c r="K412" i="9" s="1"/>
  <c r="I411" i="9"/>
  <c r="F410" i="9"/>
  <c r="J409" i="9"/>
  <c r="I409" i="9"/>
  <c r="I408" i="9" s="1"/>
  <c r="F408" i="9"/>
  <c r="F405" i="9"/>
  <c r="I405" i="9" s="1"/>
  <c r="I404" i="9" s="1"/>
  <c r="F403" i="9"/>
  <c r="I403" i="9" s="1"/>
  <c r="K403" i="9" s="1"/>
  <c r="F402" i="9"/>
  <c r="I402" i="9" s="1"/>
  <c r="K402" i="9" s="1"/>
  <c r="F401" i="9"/>
  <c r="I401" i="9" s="1"/>
  <c r="K401" i="9" s="1"/>
  <c r="F400" i="9"/>
  <c r="F399" i="9"/>
  <c r="I399" i="9" s="1"/>
  <c r="K399" i="9" s="1"/>
  <c r="F398" i="9"/>
  <c r="I398" i="9" s="1"/>
  <c r="K398" i="9" s="1"/>
  <c r="F396" i="9"/>
  <c r="I396" i="9" s="1"/>
  <c r="K396" i="9" s="1"/>
  <c r="F394" i="9"/>
  <c r="I394" i="9" s="1"/>
  <c r="K394" i="9" s="1"/>
  <c r="F393" i="9"/>
  <c r="I393" i="9" s="1"/>
  <c r="K393" i="9" s="1"/>
  <c r="F392" i="9"/>
  <c r="I392" i="9" s="1"/>
  <c r="F391" i="9"/>
  <c r="F390" i="9"/>
  <c r="I390" i="9" s="1"/>
  <c r="K390" i="9" s="1"/>
  <c r="F389" i="9"/>
  <c r="I389" i="9" s="1"/>
  <c r="K389" i="9" s="1"/>
  <c r="J386" i="9"/>
  <c r="I386" i="9"/>
  <c r="J385" i="9"/>
  <c r="I385" i="9"/>
  <c r="J384" i="9"/>
  <c r="I384" i="9"/>
  <c r="F383" i="9"/>
  <c r="J383" i="9" s="1"/>
  <c r="F382" i="9"/>
  <c r="I382" i="9" s="1"/>
  <c r="K382" i="9" s="1"/>
  <c r="F381" i="9"/>
  <c r="I381" i="9" s="1"/>
  <c r="K381" i="9" s="1"/>
  <c r="F380" i="9"/>
  <c r="I380" i="9" s="1"/>
  <c r="K380" i="9" s="1"/>
  <c r="F379" i="9"/>
  <c r="I379" i="9" s="1"/>
  <c r="K379" i="9" s="1"/>
  <c r="F378" i="9"/>
  <c r="F377" i="9"/>
  <c r="I377" i="9" s="1"/>
  <c r="K377" i="9" s="1"/>
  <c r="F376" i="9"/>
  <c r="I376" i="9" s="1"/>
  <c r="K376" i="9" s="1"/>
  <c r="F375" i="9"/>
  <c r="I375" i="9" s="1"/>
  <c r="K375" i="9" s="1"/>
  <c r="F374" i="9"/>
  <c r="I372" i="9"/>
  <c r="I371" i="9" s="1"/>
  <c r="F371" i="9"/>
  <c r="J371" i="9" s="1"/>
  <c r="F370" i="9"/>
  <c r="I370" i="9" s="1"/>
  <c r="K370" i="9" s="1"/>
  <c r="F369" i="9"/>
  <c r="I369" i="9" s="1"/>
  <c r="K369" i="9" s="1"/>
  <c r="F368" i="9"/>
  <c r="I368" i="9" s="1"/>
  <c r="K368" i="9" s="1"/>
  <c r="F367" i="9"/>
  <c r="I367" i="9" s="1"/>
  <c r="K367" i="9" s="1"/>
  <c r="F365" i="9"/>
  <c r="J365" i="9" s="1"/>
  <c r="F363" i="9"/>
  <c r="I363" i="9" s="1"/>
  <c r="K363" i="9" s="1"/>
  <c r="F362" i="9"/>
  <c r="I362" i="9" s="1"/>
  <c r="K362" i="9" s="1"/>
  <c r="F361" i="9"/>
  <c r="I361" i="9" s="1"/>
  <c r="K361" i="9" s="1"/>
  <c r="F360" i="9"/>
  <c r="F359" i="9"/>
  <c r="I359" i="9" s="1"/>
  <c r="K359" i="9" s="1"/>
  <c r="I356" i="9"/>
  <c r="F355" i="9"/>
  <c r="J355" i="9" s="1"/>
  <c r="F354" i="9"/>
  <c r="I354" i="9" s="1"/>
  <c r="K354" i="9" s="1"/>
  <c r="F353" i="9"/>
  <c r="I353" i="9" s="1"/>
  <c r="K353" i="9" s="1"/>
  <c r="F352" i="9"/>
  <c r="I352" i="9" s="1"/>
  <c r="K352" i="9" s="1"/>
  <c r="F351" i="9"/>
  <c r="I351" i="9" s="1"/>
  <c r="K351" i="9" s="1"/>
  <c r="F350" i="9"/>
  <c r="I350" i="9" s="1"/>
  <c r="K350" i="9" s="1"/>
  <c r="F349" i="9"/>
  <c r="F348" i="9"/>
  <c r="I348" i="9" s="1"/>
  <c r="F347" i="9"/>
  <c r="I347" i="9" s="1"/>
  <c r="I345" i="9"/>
  <c r="I344" i="9" s="1"/>
  <c r="F344" i="9"/>
  <c r="J344" i="9" s="1"/>
  <c r="F343" i="9"/>
  <c r="I343" i="9" s="1"/>
  <c r="K343" i="9" s="1"/>
  <c r="F342" i="9"/>
  <c r="I342" i="9" s="1"/>
  <c r="K342" i="9" s="1"/>
  <c r="F341" i="9"/>
  <c r="I341" i="9" s="1"/>
  <c r="K341" i="9" s="1"/>
  <c r="F340" i="9"/>
  <c r="I340" i="9" s="1"/>
  <c r="K340" i="9" s="1"/>
  <c r="F339" i="9"/>
  <c r="I339" i="9" s="1"/>
  <c r="K339" i="9" s="1"/>
  <c r="F338" i="9"/>
  <c r="F336" i="9"/>
  <c r="I336" i="9" s="1"/>
  <c r="I335" i="9" s="1"/>
  <c r="F334" i="9"/>
  <c r="I334" i="9" s="1"/>
  <c r="K334" i="9" s="1"/>
  <c r="F333" i="9"/>
  <c r="I333" i="9" s="1"/>
  <c r="K333" i="9" s="1"/>
  <c r="F332" i="9"/>
  <c r="I332" i="9" s="1"/>
  <c r="K332" i="9" s="1"/>
  <c r="F331" i="9"/>
  <c r="I331" i="9" s="1"/>
  <c r="F328" i="9"/>
  <c r="E325" i="9"/>
  <c r="E321" i="9"/>
  <c r="F315" i="9"/>
  <c r="I315" i="9" s="1"/>
  <c r="K315" i="9" s="1"/>
  <c r="F314" i="9"/>
  <c r="I314" i="9" s="1"/>
  <c r="K314" i="9" s="1"/>
  <c r="F313" i="9"/>
  <c r="I313" i="9" s="1"/>
  <c r="K313" i="9" s="1"/>
  <c r="F312" i="9"/>
  <c r="I312" i="9" s="1"/>
  <c r="K312" i="9" s="1"/>
  <c r="F311" i="9"/>
  <c r="I311" i="9" s="1"/>
  <c r="F309" i="9"/>
  <c r="J309" i="9" s="1"/>
  <c r="F308" i="9"/>
  <c r="J308" i="9" s="1"/>
  <c r="F307" i="9"/>
  <c r="J307" i="9" s="1"/>
  <c r="I305" i="9"/>
  <c r="F304" i="9"/>
  <c r="J304" i="9" s="1"/>
  <c r="F303" i="9"/>
  <c r="I303" i="9" s="1"/>
  <c r="K303" i="9" s="1"/>
  <c r="F302" i="9"/>
  <c r="I302" i="9" s="1"/>
  <c r="K302" i="9" s="1"/>
  <c r="F301" i="9"/>
  <c r="I301" i="9" s="1"/>
  <c r="K301" i="9" s="1"/>
  <c r="F300" i="9"/>
  <c r="I300" i="9" s="1"/>
  <c r="K300" i="9" s="1"/>
  <c r="F299" i="9"/>
  <c r="I299" i="9" s="1"/>
  <c r="K299" i="9" s="1"/>
  <c r="F298" i="9"/>
  <c r="I298" i="9" s="1"/>
  <c r="K298" i="9" s="1"/>
  <c r="F297" i="9"/>
  <c r="I297" i="9" s="1"/>
  <c r="I295" i="9"/>
  <c r="I293" i="9"/>
  <c r="F292" i="9"/>
  <c r="I291" i="9"/>
  <c r="F290" i="9"/>
  <c r="I288" i="9"/>
  <c r="F287" i="9"/>
  <c r="J287" i="9" s="1"/>
  <c r="F286" i="9"/>
  <c r="I286" i="9" s="1"/>
  <c r="K286" i="9" s="1"/>
  <c r="F285" i="9"/>
  <c r="I285" i="9" s="1"/>
  <c r="K285" i="9" s="1"/>
  <c r="F284" i="9"/>
  <c r="I284" i="9" s="1"/>
  <c r="K284" i="9" s="1"/>
  <c r="F283" i="9"/>
  <c r="F282" i="9"/>
  <c r="I282" i="9" s="1"/>
  <c r="I280" i="9"/>
  <c r="I278" i="9"/>
  <c r="F277" i="9"/>
  <c r="J277" i="9" s="1"/>
  <c r="I276" i="9"/>
  <c r="F275" i="9"/>
  <c r="J275" i="9" s="1"/>
  <c r="I273" i="9"/>
  <c r="F272" i="9"/>
  <c r="J272" i="9" s="1"/>
  <c r="F271" i="9"/>
  <c r="I271" i="9" s="1"/>
  <c r="K271" i="9" s="1"/>
  <c r="F270" i="9"/>
  <c r="I270" i="9" s="1"/>
  <c r="K270" i="9" s="1"/>
  <c r="F269" i="9"/>
  <c r="I269" i="9" s="1"/>
  <c r="K269" i="9" s="1"/>
  <c r="F268" i="9"/>
  <c r="I268" i="9" s="1"/>
  <c r="K268" i="9" s="1"/>
  <c r="F267" i="9"/>
  <c r="I267" i="9" s="1"/>
  <c r="K267" i="9" s="1"/>
  <c r="F266" i="9"/>
  <c r="I266" i="9" s="1"/>
  <c r="K266" i="9" s="1"/>
  <c r="F265" i="9"/>
  <c r="I265" i="9" s="1"/>
  <c r="K265" i="9" s="1"/>
  <c r="F264" i="9"/>
  <c r="I264" i="9" s="1"/>
  <c r="K264" i="9" s="1"/>
  <c r="F263" i="9"/>
  <c r="I261" i="9"/>
  <c r="K261" i="9" s="1"/>
  <c r="I260" i="9"/>
  <c r="K260" i="9" s="1"/>
  <c r="I259" i="9"/>
  <c r="K259" i="9" s="1"/>
  <c r="I258" i="9"/>
  <c r="K258" i="9" s="1"/>
  <c r="I257" i="9"/>
  <c r="J256" i="9"/>
  <c r="I255" i="9"/>
  <c r="F254" i="9"/>
  <c r="J254" i="9" s="1"/>
  <c r="I253" i="9"/>
  <c r="F252" i="9"/>
  <c r="J252" i="9" s="1"/>
  <c r="I250" i="9"/>
  <c r="F249" i="9"/>
  <c r="F248" i="9"/>
  <c r="I248" i="9" s="1"/>
  <c r="K248" i="9" s="1"/>
  <c r="F247" i="9"/>
  <c r="I247" i="9" s="1"/>
  <c r="K247" i="9" s="1"/>
  <c r="F246" i="9"/>
  <c r="I246" i="9" s="1"/>
  <c r="K246" i="9" s="1"/>
  <c r="F245" i="9"/>
  <c r="I245" i="9" s="1"/>
  <c r="K245" i="9" s="1"/>
  <c r="F244" i="9"/>
  <c r="I244" i="9" s="1"/>
  <c r="K244" i="9" s="1"/>
  <c r="F243" i="9"/>
  <c r="F242" i="9"/>
  <c r="I242" i="9" s="1"/>
  <c r="K242" i="9" s="1"/>
  <c r="F241" i="9"/>
  <c r="I241" i="9" s="1"/>
  <c r="K241" i="9" s="1"/>
  <c r="F240" i="9"/>
  <c r="I240" i="9" s="1"/>
  <c r="F239" i="9"/>
  <c r="I239" i="9" s="1"/>
  <c r="I237" i="9"/>
  <c r="K237" i="9" s="1"/>
  <c r="I236" i="9"/>
  <c r="K236" i="9" s="1"/>
  <c r="I235" i="9"/>
  <c r="K235" i="9" s="1"/>
  <c r="I234" i="9"/>
  <c r="K234" i="9" s="1"/>
  <c r="I233" i="9"/>
  <c r="J232" i="9"/>
  <c r="J231" i="9"/>
  <c r="I231" i="9"/>
  <c r="F230" i="9"/>
  <c r="I229" i="9"/>
  <c r="F228" i="9"/>
  <c r="J219" i="9"/>
  <c r="K219" i="9" s="1"/>
  <c r="J218" i="9"/>
  <c r="K218" i="9" s="1"/>
  <c r="J217" i="9"/>
  <c r="K217" i="9" s="1"/>
  <c r="J216" i="9"/>
  <c r="K216" i="9" s="1"/>
  <c r="J215" i="9"/>
  <c r="K215" i="9" s="1"/>
  <c r="J214" i="9"/>
  <c r="K214" i="9" s="1"/>
  <c r="J213" i="9"/>
  <c r="K213" i="9" s="1"/>
  <c r="J212" i="9"/>
  <c r="K212" i="9" s="1"/>
  <c r="J211" i="9"/>
  <c r="K211" i="9" s="1"/>
  <c r="J210" i="9"/>
  <c r="K210" i="9" s="1"/>
  <c r="J209" i="9"/>
  <c r="K209" i="9" s="1"/>
  <c r="J208" i="9"/>
  <c r="K208" i="9" s="1"/>
  <c r="J207" i="9"/>
  <c r="K207" i="9" s="1"/>
  <c r="J206" i="9"/>
  <c r="K206" i="9" s="1"/>
  <c r="J205" i="9"/>
  <c r="K205" i="9" s="1"/>
  <c r="J204" i="9"/>
  <c r="K204" i="9" s="1"/>
  <c r="J203" i="9"/>
  <c r="K203" i="9" s="1"/>
  <c r="J202" i="9"/>
  <c r="K202" i="9" s="1"/>
  <c r="J201" i="9"/>
  <c r="K201" i="9" s="1"/>
  <c r="J200" i="9"/>
  <c r="K200" i="9" s="1"/>
  <c r="J199" i="9"/>
  <c r="K199" i="9" s="1"/>
  <c r="J198" i="9"/>
  <c r="K198" i="9" s="1"/>
  <c r="J197" i="9"/>
  <c r="K197" i="9" s="1"/>
  <c r="J196" i="9"/>
  <c r="K196" i="9" s="1"/>
  <c r="J195" i="9"/>
  <c r="K195" i="9" s="1"/>
  <c r="J194" i="9"/>
  <c r="K194" i="9" s="1"/>
  <c r="J193" i="9"/>
  <c r="K193" i="9" s="1"/>
  <c r="J192" i="9"/>
  <c r="K192" i="9" s="1"/>
  <c r="J191" i="9"/>
  <c r="K191" i="9" s="1"/>
  <c r="J190" i="9"/>
  <c r="I190" i="9"/>
  <c r="I189" i="9" s="1"/>
  <c r="K189" i="9" s="1"/>
  <c r="J188" i="9"/>
  <c r="I188" i="9"/>
  <c r="J187" i="9"/>
  <c r="J186" i="9"/>
  <c r="I186" i="9"/>
  <c r="J185" i="9"/>
  <c r="J184" i="9"/>
  <c r="I184" i="9"/>
  <c r="J183" i="9"/>
  <c r="J182" i="9"/>
  <c r="I182" i="9"/>
  <c r="J181" i="9"/>
  <c r="J180" i="9"/>
  <c r="I180" i="9"/>
  <c r="J179" i="9"/>
  <c r="I179" i="9"/>
  <c r="J178" i="9"/>
  <c r="I178" i="9"/>
  <c r="J177" i="9"/>
  <c r="J176" i="9"/>
  <c r="I176" i="9"/>
  <c r="J175" i="9"/>
  <c r="I174" i="9"/>
  <c r="I173" i="9" s="1"/>
  <c r="J173" i="9"/>
  <c r="J172" i="9"/>
  <c r="I172" i="9"/>
  <c r="I171" i="9" s="1"/>
  <c r="J171" i="9"/>
  <c r="J170" i="9"/>
  <c r="I170" i="9"/>
  <c r="J168" i="9"/>
  <c r="I168" i="9"/>
  <c r="J169" i="9"/>
  <c r="J167" i="9"/>
  <c r="J166" i="9"/>
  <c r="I166" i="9"/>
  <c r="J165" i="9"/>
  <c r="J164" i="9"/>
  <c r="I164" i="9"/>
  <c r="J163" i="9"/>
  <c r="J162" i="9"/>
  <c r="I162" i="9"/>
  <c r="J161" i="9"/>
  <c r="J160" i="9"/>
  <c r="I160" i="9"/>
  <c r="J159" i="9"/>
  <c r="I158" i="9"/>
  <c r="J157" i="9"/>
  <c r="I156" i="9"/>
  <c r="J155" i="9"/>
  <c r="J152" i="9"/>
  <c r="I152" i="9"/>
  <c r="K152" i="9" s="1"/>
  <c r="J151" i="9"/>
  <c r="I151" i="9"/>
  <c r="J150" i="9"/>
  <c r="I150" i="9"/>
  <c r="J149" i="9"/>
  <c r="J148" i="9"/>
  <c r="I148" i="9"/>
  <c r="J147" i="9"/>
  <c r="I147" i="9"/>
  <c r="J146" i="9"/>
  <c r="J145" i="9"/>
  <c r="I145" i="9"/>
  <c r="K145" i="9" s="1"/>
  <c r="J144" i="9"/>
  <c r="I144" i="9"/>
  <c r="J143" i="9"/>
  <c r="F141" i="9"/>
  <c r="I141" i="9" s="1"/>
  <c r="J140" i="9"/>
  <c r="J139" i="9"/>
  <c r="I139" i="9"/>
  <c r="J138" i="9"/>
  <c r="J137" i="9"/>
  <c r="I137" i="9"/>
  <c r="J136" i="9"/>
  <c r="J135" i="9"/>
  <c r="I135" i="9"/>
  <c r="J134" i="9"/>
  <c r="J133" i="9"/>
  <c r="I133" i="9"/>
  <c r="J132" i="9"/>
  <c r="J131" i="9"/>
  <c r="I131" i="9"/>
  <c r="J130" i="9"/>
  <c r="J129" i="9"/>
  <c r="I129" i="9"/>
  <c r="J128" i="9"/>
  <c r="J127" i="9"/>
  <c r="I127" i="9"/>
  <c r="J126" i="9"/>
  <c r="J125" i="9"/>
  <c r="I125" i="9"/>
  <c r="J124" i="9"/>
  <c r="J123" i="9"/>
  <c r="I123" i="9"/>
  <c r="J122" i="9"/>
  <c r="J121" i="9"/>
  <c r="I121" i="9"/>
  <c r="J120" i="9"/>
  <c r="J119" i="9"/>
  <c r="I119" i="9"/>
  <c r="J118" i="9"/>
  <c r="J117" i="9"/>
  <c r="I117" i="9"/>
  <c r="F116" i="9"/>
  <c r="J115" i="9"/>
  <c r="I115" i="9"/>
  <c r="J114" i="9"/>
  <c r="J113" i="9"/>
  <c r="I113" i="9"/>
  <c r="J112" i="9"/>
  <c r="J111" i="9"/>
  <c r="I111" i="9"/>
  <c r="J110" i="9"/>
  <c r="J109" i="9"/>
  <c r="I109" i="9"/>
  <c r="J108" i="9"/>
  <c r="J107" i="9"/>
  <c r="I107" i="9"/>
  <c r="J106" i="9"/>
  <c r="J105" i="9"/>
  <c r="I105" i="9"/>
  <c r="J104" i="9"/>
  <c r="J103" i="9"/>
  <c r="I103" i="9"/>
  <c r="J102" i="9"/>
  <c r="I98" i="9"/>
  <c r="I97" i="9" s="1"/>
  <c r="J86" i="9"/>
  <c r="J85" i="9" s="1"/>
  <c r="J84" i="9"/>
  <c r="I84" i="9"/>
  <c r="J83" i="9"/>
  <c r="J76" i="9" s="1"/>
  <c r="I82" i="9"/>
  <c r="K82" i="9" s="1"/>
  <c r="I81" i="9"/>
  <c r="K81" i="9" s="1"/>
  <c r="I80" i="9"/>
  <c r="K80" i="9" s="1"/>
  <c r="I79" i="9"/>
  <c r="K79" i="9" s="1"/>
  <c r="I78" i="9"/>
  <c r="J75" i="9"/>
  <c r="J74" i="9" s="1"/>
  <c r="I75" i="9"/>
  <c r="I74" i="9" s="1"/>
  <c r="J73" i="9"/>
  <c r="J71" i="9" s="1"/>
  <c r="I73" i="9"/>
  <c r="I72" i="9"/>
  <c r="I70" i="9"/>
  <c r="K70" i="9" s="1"/>
  <c r="I69" i="9"/>
  <c r="K69" i="9" s="1"/>
  <c r="I68" i="9"/>
  <c r="K68" i="9" s="1"/>
  <c r="I67" i="9"/>
  <c r="K67" i="9" s="1"/>
  <c r="I66" i="9"/>
  <c r="J65" i="9"/>
  <c r="J64" i="9"/>
  <c r="I64" i="9"/>
  <c r="J63" i="9"/>
  <c r="J62" i="9"/>
  <c r="I62" i="9"/>
  <c r="J60" i="9"/>
  <c r="K60" i="9" s="1"/>
  <c r="J59" i="9"/>
  <c r="I59" i="9"/>
  <c r="J58" i="9"/>
  <c r="J57" i="9"/>
  <c r="I57" i="9"/>
  <c r="J56" i="9"/>
  <c r="J55" i="9"/>
  <c r="I55" i="9"/>
  <c r="J54" i="9"/>
  <c r="J53" i="9"/>
  <c r="I53" i="9"/>
  <c r="J52" i="9"/>
  <c r="J51" i="9"/>
  <c r="I51" i="9"/>
  <c r="J50" i="9"/>
  <c r="J49" i="9"/>
  <c r="K49" i="9" s="1"/>
  <c r="J48" i="9"/>
  <c r="I48" i="9"/>
  <c r="I47" i="9"/>
  <c r="K47" i="9" s="1"/>
  <c r="I46" i="9"/>
  <c r="J45" i="9"/>
  <c r="F44" i="9"/>
  <c r="I44" i="9" s="1"/>
  <c r="K44" i="9" s="1"/>
  <c r="F43" i="9"/>
  <c r="I43" i="9" s="1"/>
  <c r="K43" i="9" s="1"/>
  <c r="I42" i="9"/>
  <c r="K42" i="9" s="1"/>
  <c r="F41" i="9"/>
  <c r="I41" i="9" s="1"/>
  <c r="K41" i="9" s="1"/>
  <c r="F40" i="9"/>
  <c r="I40" i="9" s="1"/>
  <c r="J38" i="9"/>
  <c r="I38" i="9"/>
  <c r="J37" i="9"/>
  <c r="I37" i="9"/>
  <c r="J36" i="9"/>
  <c r="I36" i="9"/>
  <c r="I35" i="9" s="1"/>
  <c r="K35" i="9" s="1"/>
  <c r="J34" i="9"/>
  <c r="I34" i="9"/>
  <c r="F33" i="9"/>
  <c r="I33" i="9" s="1"/>
  <c r="I32" i="9" s="1"/>
  <c r="K32" i="9" s="1"/>
  <c r="J31" i="9"/>
  <c r="K31" i="9" s="1"/>
  <c r="J30" i="9"/>
  <c r="K30" i="9" s="1"/>
  <c r="J29" i="9"/>
  <c r="K29" i="9" s="1"/>
  <c r="J28" i="9"/>
  <c r="K28" i="9" s="1"/>
  <c r="F27" i="9"/>
  <c r="J27" i="9" s="1"/>
  <c r="J26" i="9"/>
  <c r="I26" i="9"/>
  <c r="J25" i="9"/>
  <c r="J23" i="9"/>
  <c r="I24" i="8"/>
  <c r="H24" i="8"/>
  <c r="J24" i="8" s="1"/>
  <c r="G474" i="8"/>
  <c r="I223" i="9" l="1"/>
  <c r="I323" i="9"/>
  <c r="K356" i="9"/>
  <c r="I328" i="9"/>
  <c r="K347" i="9"/>
  <c r="I71" i="9"/>
  <c r="K71" i="9" s="1"/>
  <c r="K97" i="9"/>
  <c r="I85" i="9"/>
  <c r="K85" i="9" s="1"/>
  <c r="J154" i="9"/>
  <c r="J153" i="9" s="1"/>
  <c r="K148" i="9"/>
  <c r="K37" i="9"/>
  <c r="K62" i="9"/>
  <c r="K34" i="9"/>
  <c r="K48" i="9"/>
  <c r="K23" i="9"/>
  <c r="I45" i="9"/>
  <c r="K45" i="9" s="1"/>
  <c r="K46" i="9"/>
  <c r="I54" i="9"/>
  <c r="K54" i="9" s="1"/>
  <c r="K55" i="9"/>
  <c r="I39" i="9"/>
  <c r="K40" i="9"/>
  <c r="I56" i="9"/>
  <c r="K56" i="9" s="1"/>
  <c r="K57" i="9"/>
  <c r="I50" i="9"/>
  <c r="K50" i="9" s="1"/>
  <c r="K51" i="9"/>
  <c r="K36" i="9"/>
  <c r="I63" i="9"/>
  <c r="K63" i="9" s="1"/>
  <c r="K64" i="9"/>
  <c r="I52" i="9"/>
  <c r="K52" i="9" s="1"/>
  <c r="K53" i="9"/>
  <c r="K26" i="9"/>
  <c r="I25" i="9"/>
  <c r="I65" i="9"/>
  <c r="K65" i="9" s="1"/>
  <c r="K66" i="9"/>
  <c r="I58" i="9"/>
  <c r="K58" i="9" s="1"/>
  <c r="K59" i="9"/>
  <c r="K38" i="9"/>
  <c r="K311" i="9"/>
  <c r="I310" i="9"/>
  <c r="I306" i="9" s="1"/>
  <c r="I140" i="9"/>
  <c r="K140" i="9" s="1"/>
  <c r="I116" i="9"/>
  <c r="K117" i="9"/>
  <c r="K111" i="9"/>
  <c r="I110" i="9"/>
  <c r="K110" i="9" s="1"/>
  <c r="I124" i="9"/>
  <c r="K124" i="9" s="1"/>
  <c r="K125" i="9"/>
  <c r="K113" i="9"/>
  <c r="I112" i="9"/>
  <c r="K112" i="9" s="1"/>
  <c r="K115" i="9"/>
  <c r="I114" i="9"/>
  <c r="K114" i="9" s="1"/>
  <c r="K103" i="9"/>
  <c r="I102" i="9"/>
  <c r="K131" i="9"/>
  <c r="I130" i="9"/>
  <c r="K130" i="9" s="1"/>
  <c r="I104" i="9"/>
  <c r="K104" i="9" s="1"/>
  <c r="K105" i="9"/>
  <c r="I118" i="9"/>
  <c r="K118" i="9" s="1"/>
  <c r="K119" i="9"/>
  <c r="I138" i="9"/>
  <c r="K138" i="9" s="1"/>
  <c r="K139" i="9"/>
  <c r="K127" i="9"/>
  <c r="I126" i="9"/>
  <c r="K126" i="9" s="1"/>
  <c r="K129" i="9"/>
  <c r="I128" i="9"/>
  <c r="K128" i="9" s="1"/>
  <c r="K133" i="9"/>
  <c r="I132" i="9"/>
  <c r="K132" i="9" s="1"/>
  <c r="I106" i="9"/>
  <c r="K106" i="9" s="1"/>
  <c r="K107" i="9"/>
  <c r="K121" i="9"/>
  <c r="I120" i="9"/>
  <c r="K120" i="9" s="1"/>
  <c r="K135" i="9"/>
  <c r="I134" i="9"/>
  <c r="K134" i="9" s="1"/>
  <c r="K109" i="9"/>
  <c r="I108" i="9"/>
  <c r="K108" i="9" s="1"/>
  <c r="K123" i="9"/>
  <c r="I122" i="9"/>
  <c r="K122" i="9" s="1"/>
  <c r="K137" i="9"/>
  <c r="I136" i="9"/>
  <c r="K136" i="9" s="1"/>
  <c r="J142" i="9"/>
  <c r="K150" i="9"/>
  <c r="I149" i="9"/>
  <c r="K149" i="9" s="1"/>
  <c r="K151" i="9"/>
  <c r="K147" i="9"/>
  <c r="I146" i="9"/>
  <c r="K146" i="9" s="1"/>
  <c r="K144" i="9"/>
  <c r="I143" i="9"/>
  <c r="K180" i="9"/>
  <c r="I167" i="9"/>
  <c r="K167" i="9" s="1"/>
  <c r="K168" i="9"/>
  <c r="K170" i="9"/>
  <c r="I169" i="9"/>
  <c r="I165" i="9"/>
  <c r="K165" i="9" s="1"/>
  <c r="K166" i="9"/>
  <c r="K182" i="9"/>
  <c r="I181" i="9"/>
  <c r="K181" i="9" s="1"/>
  <c r="I155" i="9"/>
  <c r="K156" i="9"/>
  <c r="K184" i="9"/>
  <c r="I183" i="9"/>
  <c r="K183" i="9" s="1"/>
  <c r="K171" i="9"/>
  <c r="K172" i="9"/>
  <c r="K178" i="9"/>
  <c r="I177" i="9"/>
  <c r="K177" i="9" s="1"/>
  <c r="K173" i="9"/>
  <c r="K174" i="9"/>
  <c r="K158" i="9"/>
  <c r="I157" i="9"/>
  <c r="K157" i="9" s="1"/>
  <c r="K186" i="9"/>
  <c r="I185" i="9"/>
  <c r="K185" i="9" s="1"/>
  <c r="I187" i="9"/>
  <c r="K187" i="9" s="1"/>
  <c r="K188" i="9"/>
  <c r="K164" i="9"/>
  <c r="I163" i="9"/>
  <c r="K163" i="9" s="1"/>
  <c r="K179" i="9"/>
  <c r="K160" i="9"/>
  <c r="I159" i="9"/>
  <c r="K159" i="9" s="1"/>
  <c r="I161" i="9"/>
  <c r="K161" i="9" s="1"/>
  <c r="K162" i="9"/>
  <c r="I175" i="9"/>
  <c r="K175" i="9" s="1"/>
  <c r="K176" i="9"/>
  <c r="K74" i="9"/>
  <c r="K190" i="9"/>
  <c r="K386" i="9"/>
  <c r="K231" i="9"/>
  <c r="I230" i="9"/>
  <c r="K233" i="9"/>
  <c r="I232" i="9"/>
  <c r="K253" i="9"/>
  <c r="I252" i="9"/>
  <c r="K252" i="9" s="1"/>
  <c r="K240" i="9"/>
  <c r="I225" i="9"/>
  <c r="I249" i="9"/>
  <c r="K250" i="9"/>
  <c r="I294" i="9"/>
  <c r="K294" i="9" s="1"/>
  <c r="K295" i="9"/>
  <c r="K257" i="9"/>
  <c r="I256" i="9"/>
  <c r="K256" i="9" s="1"/>
  <c r="I292" i="9"/>
  <c r="K293" i="9"/>
  <c r="K273" i="9"/>
  <c r="I272" i="9"/>
  <c r="K272" i="9" s="1"/>
  <c r="I287" i="9"/>
  <c r="K287" i="9" s="1"/>
  <c r="K288" i="9"/>
  <c r="I296" i="9"/>
  <c r="K297" i="9"/>
  <c r="K276" i="9"/>
  <c r="I275" i="9"/>
  <c r="K275" i="9" s="1"/>
  <c r="K278" i="9"/>
  <c r="I277" i="9"/>
  <c r="K277" i="9" s="1"/>
  <c r="K282" i="9"/>
  <c r="K305" i="9"/>
  <c r="I304" i="9"/>
  <c r="K304" i="9" s="1"/>
  <c r="I254" i="9"/>
  <c r="K254" i="9" s="1"/>
  <c r="K255" i="9"/>
  <c r="K280" i="9"/>
  <c r="I279" i="9"/>
  <c r="K279" i="9" s="1"/>
  <c r="I224" i="9"/>
  <c r="I228" i="9"/>
  <c r="K229" i="9"/>
  <c r="I290" i="9"/>
  <c r="K291" i="9"/>
  <c r="K86" i="9"/>
  <c r="K98" i="9"/>
  <c r="I77" i="9"/>
  <c r="K78" i="9"/>
  <c r="I83" i="9"/>
  <c r="K83" i="9" s="1"/>
  <c r="K84" i="9"/>
  <c r="J292" i="9"/>
  <c r="J474" i="9"/>
  <c r="J488" i="9"/>
  <c r="I488" i="9"/>
  <c r="F404" i="9"/>
  <c r="J404" i="9" s="1"/>
  <c r="K404" i="9" s="1"/>
  <c r="K468" i="9"/>
  <c r="F324" i="9"/>
  <c r="K469" i="9"/>
  <c r="K385" i="9"/>
  <c r="F397" i="9"/>
  <c r="J397" i="9" s="1"/>
  <c r="I446" i="9"/>
  <c r="F221" i="9"/>
  <c r="F395" i="9"/>
  <c r="J395" i="9" s="1"/>
  <c r="F335" i="9"/>
  <c r="J335" i="9" s="1"/>
  <c r="K335" i="9" s="1"/>
  <c r="K479" i="9"/>
  <c r="I410" i="9"/>
  <c r="K476" i="9"/>
  <c r="F238" i="9"/>
  <c r="J238" i="9" s="1"/>
  <c r="I424" i="9"/>
  <c r="I309" i="9"/>
  <c r="K309" i="9" s="1"/>
  <c r="F310" i="9"/>
  <c r="J310" i="9" s="1"/>
  <c r="J306" i="9" s="1"/>
  <c r="K421" i="9"/>
  <c r="I383" i="9"/>
  <c r="K383" i="9" s="1"/>
  <c r="L149" i="9"/>
  <c r="F388" i="9"/>
  <c r="J388" i="9" s="1"/>
  <c r="J387" i="9" s="1"/>
  <c r="F373" i="9"/>
  <c r="J373" i="9" s="1"/>
  <c r="K425" i="9"/>
  <c r="I453" i="9"/>
  <c r="K422" i="9"/>
  <c r="I415" i="9"/>
  <c r="K417" i="9"/>
  <c r="I378" i="9"/>
  <c r="K378" i="9" s="1"/>
  <c r="F366" i="9"/>
  <c r="J366" i="9" s="1"/>
  <c r="K411" i="9"/>
  <c r="I391" i="9"/>
  <c r="K391" i="9" s="1"/>
  <c r="K75" i="9"/>
  <c r="F330" i="9"/>
  <c r="J330" i="9" s="1"/>
  <c r="K336" i="9"/>
  <c r="K432" i="9"/>
  <c r="K409" i="9"/>
  <c r="F346" i="9"/>
  <c r="J346" i="9" s="1"/>
  <c r="K454" i="9"/>
  <c r="I349" i="9"/>
  <c r="F322" i="9"/>
  <c r="K472" i="9"/>
  <c r="I400" i="9"/>
  <c r="K400" i="9" s="1"/>
  <c r="K345" i="9"/>
  <c r="I355" i="9"/>
  <c r="K355" i="9" s="1"/>
  <c r="K344" i="9"/>
  <c r="K371" i="9"/>
  <c r="K405" i="9"/>
  <c r="I366" i="9"/>
  <c r="I27" i="9"/>
  <c r="K27" i="9" s="1"/>
  <c r="K392" i="9"/>
  <c r="K372" i="9"/>
  <c r="I395" i="9"/>
  <c r="K384" i="9"/>
  <c r="I330" i="9"/>
  <c r="I465" i="9"/>
  <c r="K465" i="9" s="1"/>
  <c r="J33" i="9"/>
  <c r="K33" i="9" s="1"/>
  <c r="J116" i="9"/>
  <c r="J101" i="9" s="1"/>
  <c r="K348" i="9"/>
  <c r="K73" i="9"/>
  <c r="J478" i="9"/>
  <c r="K478" i="9" s="1"/>
  <c r="J230" i="9"/>
  <c r="I486" i="9"/>
  <c r="J424" i="9"/>
  <c r="K477" i="9"/>
  <c r="I480" i="9"/>
  <c r="K480" i="9" s="1"/>
  <c r="I474" i="9"/>
  <c r="K481" i="9"/>
  <c r="K475" i="9"/>
  <c r="J141" i="9"/>
  <c r="K141" i="9" s="1"/>
  <c r="J410" i="9"/>
  <c r="I360" i="9"/>
  <c r="F358" i="9"/>
  <c r="I263" i="9"/>
  <c r="I221" i="9" s="1"/>
  <c r="F262" i="9"/>
  <c r="F225" i="9"/>
  <c r="J249" i="9"/>
  <c r="J290" i="9"/>
  <c r="I283" i="9"/>
  <c r="K283" i="9" s="1"/>
  <c r="F281" i="9"/>
  <c r="F224" i="9"/>
  <c r="J228" i="9"/>
  <c r="I433" i="9"/>
  <c r="K433" i="9" s="1"/>
  <c r="F431" i="9"/>
  <c r="I243" i="9"/>
  <c r="K243" i="9" s="1"/>
  <c r="I308" i="9"/>
  <c r="K308" i="9" s="1"/>
  <c r="F296" i="9"/>
  <c r="F325" i="9"/>
  <c r="F326" i="9"/>
  <c r="I482" i="9"/>
  <c r="K482" i="9" s="1"/>
  <c r="F223" i="9"/>
  <c r="I374" i="9"/>
  <c r="F337" i="9"/>
  <c r="F364" i="9"/>
  <c r="F415" i="9"/>
  <c r="F453" i="9"/>
  <c r="F39" i="9"/>
  <c r="I338" i="9"/>
  <c r="I322" i="9" s="1"/>
  <c r="J408" i="9"/>
  <c r="I307" i="9"/>
  <c r="K307" i="9" s="1"/>
  <c r="I365" i="9"/>
  <c r="I324" i="9" s="1"/>
  <c r="H37" i="8"/>
  <c r="I24" i="9" l="1"/>
  <c r="K349" i="9"/>
  <c r="I327" i="9"/>
  <c r="I326" i="9"/>
  <c r="K326" i="9" s="1"/>
  <c r="I321" i="9"/>
  <c r="I154" i="9"/>
  <c r="K154" i="9" s="1"/>
  <c r="K25" i="9"/>
  <c r="K230" i="9"/>
  <c r="K306" i="9"/>
  <c r="I101" i="9"/>
  <c r="K102" i="9"/>
  <c r="K116" i="9"/>
  <c r="K143" i="9"/>
  <c r="I142" i="9"/>
  <c r="K155" i="9"/>
  <c r="J227" i="9"/>
  <c r="K292" i="9"/>
  <c r="I281" i="9"/>
  <c r="I274" i="9" s="1"/>
  <c r="K232" i="9"/>
  <c r="I226" i="9"/>
  <c r="K226" i="9" s="1"/>
  <c r="K249" i="9"/>
  <c r="K263" i="9"/>
  <c r="I262" i="9"/>
  <c r="I251" i="9" s="1"/>
  <c r="I222" i="9"/>
  <c r="I289" i="9"/>
  <c r="K239" i="9"/>
  <c r="I238" i="9"/>
  <c r="K238" i="9" s="1"/>
  <c r="I227" i="9"/>
  <c r="K228" i="9"/>
  <c r="K290" i="9"/>
  <c r="K77" i="9"/>
  <c r="I76" i="9"/>
  <c r="K76" i="9" s="1"/>
  <c r="K474" i="9"/>
  <c r="I407" i="9"/>
  <c r="K488" i="9"/>
  <c r="K486" i="9"/>
  <c r="K328" i="9"/>
  <c r="K322" i="9"/>
  <c r="I397" i="9"/>
  <c r="K397" i="9" s="1"/>
  <c r="K395" i="9"/>
  <c r="I445" i="9"/>
  <c r="I443" i="9" s="1"/>
  <c r="K324" i="9"/>
  <c r="F321" i="9"/>
  <c r="K410" i="9"/>
  <c r="F306" i="9"/>
  <c r="K310" i="9"/>
  <c r="J467" i="9"/>
  <c r="K366" i="9"/>
  <c r="K408" i="9"/>
  <c r="I346" i="9"/>
  <c r="K424" i="9"/>
  <c r="I431" i="9"/>
  <c r="K446" i="9"/>
  <c r="I388" i="9"/>
  <c r="K388" i="9" s="1"/>
  <c r="I337" i="9"/>
  <c r="K338" i="9"/>
  <c r="F327" i="9"/>
  <c r="K360" i="9"/>
  <c r="I358" i="9"/>
  <c r="K365" i="9"/>
  <c r="I364" i="9"/>
  <c r="I373" i="9"/>
  <c r="K373" i="9" s="1"/>
  <c r="K374" i="9"/>
  <c r="K330" i="9"/>
  <c r="I467" i="9"/>
  <c r="K223" i="9"/>
  <c r="J262" i="9"/>
  <c r="J251" i="9" s="1"/>
  <c r="F222" i="9"/>
  <c r="J281" i="9"/>
  <c r="J274" i="9" s="1"/>
  <c r="F320" i="9"/>
  <c r="J39" i="9"/>
  <c r="K225" i="9"/>
  <c r="F220" i="9"/>
  <c r="J415" i="9"/>
  <c r="J325" i="9" s="1"/>
  <c r="J364" i="9"/>
  <c r="J358" i="9"/>
  <c r="J431" i="9"/>
  <c r="J423" i="9" s="1"/>
  <c r="J453" i="9"/>
  <c r="K224" i="9"/>
  <c r="J296" i="9"/>
  <c r="K296" i="9" s="1"/>
  <c r="J337" i="9"/>
  <c r="F323" i="9"/>
  <c r="H115" i="8"/>
  <c r="E488" i="8"/>
  <c r="I488" i="8" s="1"/>
  <c r="J488" i="8" s="1"/>
  <c r="H487" i="8"/>
  <c r="J487" i="8" s="1"/>
  <c r="E486" i="8"/>
  <c r="I486" i="8" s="1"/>
  <c r="J486" i="8" s="1"/>
  <c r="H484" i="8"/>
  <c r="J484" i="8" s="1"/>
  <c r="H483" i="8"/>
  <c r="J483" i="8" s="1"/>
  <c r="E482" i="8"/>
  <c r="I482" i="8" s="1"/>
  <c r="I481" i="8"/>
  <c r="H481" i="8"/>
  <c r="E480" i="8"/>
  <c r="I480" i="8" s="1"/>
  <c r="I479" i="8"/>
  <c r="H479" i="8"/>
  <c r="E478" i="8"/>
  <c r="H478" i="8" s="1"/>
  <c r="I477" i="8"/>
  <c r="I476" i="8"/>
  <c r="H476" i="8"/>
  <c r="I475" i="8"/>
  <c r="H475" i="8"/>
  <c r="E474" i="8"/>
  <c r="H474" i="8" s="1"/>
  <c r="H472" i="8"/>
  <c r="I472" i="8"/>
  <c r="H471" i="8"/>
  <c r="J471" i="8" s="1"/>
  <c r="H470" i="8"/>
  <c r="I470" i="8"/>
  <c r="I469" i="8"/>
  <c r="H469" i="8"/>
  <c r="I468" i="8"/>
  <c r="H468" i="8"/>
  <c r="E467" i="8"/>
  <c r="I467" i="8" s="1"/>
  <c r="J467" i="8" s="1"/>
  <c r="D467" i="8"/>
  <c r="E465" i="8"/>
  <c r="H465" i="8" s="1"/>
  <c r="E464" i="8"/>
  <c r="H464" i="8" s="1"/>
  <c r="J464" i="8" s="1"/>
  <c r="E463" i="8"/>
  <c r="H463" i="8" s="1"/>
  <c r="J463" i="8" s="1"/>
  <c r="E462" i="8"/>
  <c r="E461" i="8"/>
  <c r="H461" i="8" s="1"/>
  <c r="J461" i="8" s="1"/>
  <c r="E460" i="8"/>
  <c r="H460" i="8" s="1"/>
  <c r="J460" i="8" s="1"/>
  <c r="E459" i="8"/>
  <c r="E458" i="8"/>
  <c r="H458" i="8" s="1"/>
  <c r="J458" i="8" s="1"/>
  <c r="E457" i="8"/>
  <c r="E456" i="8"/>
  <c r="H456" i="8" s="1"/>
  <c r="J456" i="8" s="1"/>
  <c r="E455" i="8"/>
  <c r="H455" i="8" s="1"/>
  <c r="J455" i="8" s="1"/>
  <c r="E454" i="8"/>
  <c r="H454" i="8" s="1"/>
  <c r="J454" i="8" s="1"/>
  <c r="H452" i="8"/>
  <c r="J452" i="8" s="1"/>
  <c r="H449" i="8"/>
  <c r="J449" i="8" s="1"/>
  <c r="H447" i="8"/>
  <c r="J447" i="8" s="1"/>
  <c r="E446" i="8"/>
  <c r="I446" i="8" s="1"/>
  <c r="E444" i="8"/>
  <c r="H444" i="8" s="1"/>
  <c r="E443" i="8"/>
  <c r="H443" i="8" s="1"/>
  <c r="J443" i="8" s="1"/>
  <c r="E442" i="8"/>
  <c r="H442" i="8" s="1"/>
  <c r="J442" i="8" s="1"/>
  <c r="E441" i="8"/>
  <c r="E440" i="8"/>
  <c r="E439" i="8"/>
  <c r="H439" i="8" s="1"/>
  <c r="J439" i="8" s="1"/>
  <c r="E438" i="8"/>
  <c r="H438" i="8" s="1"/>
  <c r="J438" i="8" s="1"/>
  <c r="E437" i="8"/>
  <c r="H437" i="8" s="1"/>
  <c r="J437" i="8" s="1"/>
  <c r="E436" i="8"/>
  <c r="E435" i="8"/>
  <c r="E434" i="8"/>
  <c r="H434" i="8" s="1"/>
  <c r="J434" i="8" s="1"/>
  <c r="E433" i="8"/>
  <c r="H433" i="8" s="1"/>
  <c r="J433" i="8" s="1"/>
  <c r="H431" i="8"/>
  <c r="J431" i="8" s="1"/>
  <c r="H430" i="8"/>
  <c r="J430" i="8" s="1"/>
  <c r="H428" i="8"/>
  <c r="J428" i="8" s="1"/>
  <c r="H426" i="8"/>
  <c r="J426" i="8" s="1"/>
  <c r="E425" i="8"/>
  <c r="D425" i="8"/>
  <c r="H424" i="8"/>
  <c r="J424" i="8" s="1"/>
  <c r="I423" i="8"/>
  <c r="H423" i="8"/>
  <c r="E422" i="8"/>
  <c r="H422" i="8" s="1"/>
  <c r="J422" i="8" s="1"/>
  <c r="E421" i="8"/>
  <c r="H421" i="8" s="1"/>
  <c r="J421" i="8" s="1"/>
  <c r="E420" i="8"/>
  <c r="E419" i="8"/>
  <c r="H419" i="8" s="1"/>
  <c r="J419" i="8" s="1"/>
  <c r="E418" i="8"/>
  <c r="H416" i="8"/>
  <c r="J416" i="8" s="1"/>
  <c r="E412" i="8"/>
  <c r="H412" i="8" s="1"/>
  <c r="I411" i="8"/>
  <c r="H411" i="8"/>
  <c r="E410" i="8"/>
  <c r="I410" i="8" s="1"/>
  <c r="I409" i="8"/>
  <c r="J409" i="8" s="1"/>
  <c r="I408" i="8"/>
  <c r="J408" i="8" s="1"/>
  <c r="E407" i="8"/>
  <c r="E406" i="8" s="1"/>
  <c r="E405" i="8"/>
  <c r="E404" i="8"/>
  <c r="H404" i="8" s="1"/>
  <c r="J404" i="8" s="1"/>
  <c r="E403" i="8"/>
  <c r="H403" i="8" s="1"/>
  <c r="J403" i="8" s="1"/>
  <c r="E402" i="8"/>
  <c r="E401" i="8"/>
  <c r="E400" i="8"/>
  <c r="E399" i="8"/>
  <c r="H399" i="8" s="1"/>
  <c r="J399" i="8" s="1"/>
  <c r="E397" i="8"/>
  <c r="E396" i="8" s="1"/>
  <c r="I396" i="8" s="1"/>
  <c r="E395" i="8"/>
  <c r="H395" i="8" s="1"/>
  <c r="J395" i="8" s="1"/>
  <c r="E394" i="8"/>
  <c r="H394" i="8" s="1"/>
  <c r="J394" i="8" s="1"/>
  <c r="E393" i="8"/>
  <c r="E392" i="8"/>
  <c r="H392" i="8" s="1"/>
  <c r="J392" i="8" s="1"/>
  <c r="E391" i="8"/>
  <c r="E390" i="8"/>
  <c r="I388" i="8"/>
  <c r="J388" i="8" s="1"/>
  <c r="H385" i="8"/>
  <c r="E384" i="8"/>
  <c r="E383" i="8"/>
  <c r="H383" i="8" s="1"/>
  <c r="J383" i="8" s="1"/>
  <c r="E382" i="8"/>
  <c r="E381" i="8"/>
  <c r="H381" i="8" s="1"/>
  <c r="J381" i="8" s="1"/>
  <c r="E380" i="8"/>
  <c r="H380" i="8" s="1"/>
  <c r="J380" i="8" s="1"/>
  <c r="E379" i="8"/>
  <c r="H379" i="8" s="1"/>
  <c r="J379" i="8" s="1"/>
  <c r="E378" i="8"/>
  <c r="H378" i="8" s="1"/>
  <c r="J378" i="8" s="1"/>
  <c r="E377" i="8"/>
  <c r="E376" i="8"/>
  <c r="E375" i="8"/>
  <c r="H373" i="8"/>
  <c r="J373" i="8" s="1"/>
  <c r="E372" i="8"/>
  <c r="H372" i="8" s="1"/>
  <c r="E371" i="8"/>
  <c r="E370" i="8"/>
  <c r="H370" i="8" s="1"/>
  <c r="J370" i="8" s="1"/>
  <c r="E369" i="8"/>
  <c r="E368" i="8"/>
  <c r="H368" i="8" s="1"/>
  <c r="J368" i="8" s="1"/>
  <c r="E366" i="8"/>
  <c r="E365" i="8" s="1"/>
  <c r="E364" i="8"/>
  <c r="H364" i="8" s="1"/>
  <c r="J364" i="8" s="1"/>
  <c r="E363" i="8"/>
  <c r="E362" i="8"/>
  <c r="E361" i="8"/>
  <c r="E360" i="8"/>
  <c r="I358" i="8"/>
  <c r="J358" i="8" s="1"/>
  <c r="E356" i="8"/>
  <c r="E355" i="8"/>
  <c r="E354" i="8"/>
  <c r="E353" i="8"/>
  <c r="H353" i="8" s="1"/>
  <c r="J353" i="8" s="1"/>
  <c r="E352" i="8"/>
  <c r="E351" i="8"/>
  <c r="H351" i="8" s="1"/>
  <c r="J351" i="8" s="1"/>
  <c r="E350" i="8"/>
  <c r="E349" i="8"/>
  <c r="H349" i="8" s="1"/>
  <c r="J349" i="8" s="1"/>
  <c r="E348" i="8"/>
  <c r="E345" i="8"/>
  <c r="I345" i="8" s="1"/>
  <c r="E344" i="8"/>
  <c r="E343" i="8"/>
  <c r="E342" i="8"/>
  <c r="E341" i="8"/>
  <c r="E340" i="8"/>
  <c r="H340" i="8" s="1"/>
  <c r="J340" i="8" s="1"/>
  <c r="E339" i="8"/>
  <c r="E337" i="8"/>
  <c r="E335" i="8"/>
  <c r="H335" i="8" s="1"/>
  <c r="J335" i="8" s="1"/>
  <c r="E334" i="8"/>
  <c r="E333" i="8"/>
  <c r="E332" i="8"/>
  <c r="H332" i="8" s="1"/>
  <c r="J332" i="8" s="1"/>
  <c r="I330" i="8"/>
  <c r="J330" i="8" s="1"/>
  <c r="E329" i="8"/>
  <c r="H329" i="8" s="1"/>
  <c r="D326" i="8"/>
  <c r="D322" i="8"/>
  <c r="I320" i="8"/>
  <c r="J320" i="8" s="1"/>
  <c r="E318" i="8"/>
  <c r="H318" i="8" s="1"/>
  <c r="J318" i="8" s="1"/>
  <c r="E317" i="8"/>
  <c r="E316" i="8"/>
  <c r="H316" i="8" s="1"/>
  <c r="J316" i="8" s="1"/>
  <c r="E315" i="8"/>
  <c r="H315" i="8" s="1"/>
  <c r="J315" i="8" s="1"/>
  <c r="E314" i="8"/>
  <c r="H314" i="8" s="1"/>
  <c r="J314" i="8" s="1"/>
  <c r="E312" i="8"/>
  <c r="H312" i="8" s="1"/>
  <c r="E311" i="8"/>
  <c r="E310" i="8"/>
  <c r="H310" i="8" s="1"/>
  <c r="E307" i="8"/>
  <c r="I307" i="8" s="1"/>
  <c r="H306" i="8"/>
  <c r="J306" i="8" s="1"/>
  <c r="E305" i="8"/>
  <c r="E304" i="8"/>
  <c r="H304" i="8" s="1"/>
  <c r="J304" i="8" s="1"/>
  <c r="E303" i="8"/>
  <c r="H303" i="8" s="1"/>
  <c r="J303" i="8" s="1"/>
  <c r="E302" i="8"/>
  <c r="E301" i="8"/>
  <c r="E300" i="8"/>
  <c r="E299" i="8"/>
  <c r="H296" i="8"/>
  <c r="H295" i="8"/>
  <c r="J295" i="8" s="1"/>
  <c r="E294" i="8"/>
  <c r="H294" i="8" s="1"/>
  <c r="E292" i="8"/>
  <c r="H292" i="8" s="1"/>
  <c r="I291" i="8"/>
  <c r="J291" i="8" s="1"/>
  <c r="H290" i="8"/>
  <c r="J290" i="8" s="1"/>
  <c r="E289" i="8"/>
  <c r="I289" i="8" s="1"/>
  <c r="H288" i="8"/>
  <c r="J288" i="8" s="1"/>
  <c r="E287" i="8"/>
  <c r="E286" i="8"/>
  <c r="H286" i="8" s="1"/>
  <c r="J286" i="8" s="1"/>
  <c r="E285" i="8"/>
  <c r="E284" i="8"/>
  <c r="H284" i="8" s="1"/>
  <c r="J284" i="8" s="1"/>
  <c r="E283" i="8"/>
  <c r="I280" i="8"/>
  <c r="H280" i="8"/>
  <c r="E278" i="8"/>
  <c r="I278" i="8" s="1"/>
  <c r="H277" i="8"/>
  <c r="J277" i="8" s="1"/>
  <c r="E276" i="8"/>
  <c r="I276" i="8" s="1"/>
  <c r="I275" i="8"/>
  <c r="J275" i="8" s="1"/>
  <c r="E273" i="8"/>
  <c r="E272" i="8"/>
  <c r="H272" i="8" s="1"/>
  <c r="J272" i="8" s="1"/>
  <c r="E271" i="8"/>
  <c r="E270" i="8"/>
  <c r="E269" i="8"/>
  <c r="H269" i="8" s="1"/>
  <c r="J269" i="8" s="1"/>
  <c r="E268" i="8"/>
  <c r="H268" i="8" s="1"/>
  <c r="J268" i="8" s="1"/>
  <c r="E267" i="8"/>
  <c r="E266" i="8"/>
  <c r="H266" i="8" s="1"/>
  <c r="J266" i="8" s="1"/>
  <c r="E265" i="8"/>
  <c r="E264" i="8"/>
  <c r="H264" i="8" s="1"/>
  <c r="J264" i="8" s="1"/>
  <c r="H262" i="8"/>
  <c r="J262" i="8" s="1"/>
  <c r="H261" i="8"/>
  <c r="J261" i="8" s="1"/>
  <c r="H258" i="8"/>
  <c r="J258" i="8" s="1"/>
  <c r="K257" i="8"/>
  <c r="I257" i="8"/>
  <c r="H257" i="8"/>
  <c r="E255" i="8"/>
  <c r="I255" i="8" s="1"/>
  <c r="E253" i="8"/>
  <c r="I252" i="8"/>
  <c r="J252" i="8" s="1"/>
  <c r="E250" i="8"/>
  <c r="H250" i="8" s="1"/>
  <c r="H249" i="8"/>
  <c r="J249" i="8" s="1"/>
  <c r="E248" i="8"/>
  <c r="H248" i="8" s="1"/>
  <c r="J248" i="8" s="1"/>
  <c r="E247" i="8"/>
  <c r="H247" i="8" s="1"/>
  <c r="J247" i="8" s="1"/>
  <c r="E246" i="8"/>
  <c r="H246" i="8" s="1"/>
  <c r="J246" i="8" s="1"/>
  <c r="E245" i="8"/>
  <c r="H245" i="8" s="1"/>
  <c r="J245" i="8" s="1"/>
  <c r="E244" i="8"/>
  <c r="H244" i="8" s="1"/>
  <c r="J244" i="8" s="1"/>
  <c r="E243" i="8"/>
  <c r="H243" i="8" s="1"/>
  <c r="J243" i="8" s="1"/>
  <c r="E242" i="8"/>
  <c r="H242" i="8" s="1"/>
  <c r="J242" i="8" s="1"/>
  <c r="E241" i="8"/>
  <c r="E240" i="8"/>
  <c r="H240" i="8" s="1"/>
  <c r="J240" i="8" s="1"/>
  <c r="E239" i="8"/>
  <c r="H239" i="8" s="1"/>
  <c r="J239" i="8" s="1"/>
  <c r="H237" i="8"/>
  <c r="J237" i="8" s="1"/>
  <c r="H236" i="8"/>
  <c r="J236" i="8" s="1"/>
  <c r="H235" i="8"/>
  <c r="J235" i="8" s="1"/>
  <c r="H234" i="8"/>
  <c r="J234" i="8" s="1"/>
  <c r="H233" i="8"/>
  <c r="J233" i="8" s="1"/>
  <c r="I232" i="8"/>
  <c r="H232" i="8"/>
  <c r="I231" i="8"/>
  <c r="E230" i="8"/>
  <c r="I230" i="8" s="1"/>
  <c r="H229" i="8"/>
  <c r="J229" i="8" s="1"/>
  <c r="E228" i="8"/>
  <c r="I228" i="8" s="1"/>
  <c r="I227" i="8"/>
  <c r="J227" i="8" s="1"/>
  <c r="I220" i="8"/>
  <c r="H220" i="8"/>
  <c r="I219" i="8"/>
  <c r="H219" i="8"/>
  <c r="I218" i="8"/>
  <c r="H218" i="8"/>
  <c r="I217" i="8"/>
  <c r="H217" i="8"/>
  <c r="I216" i="8"/>
  <c r="H216" i="8"/>
  <c r="J216" i="8" s="1"/>
  <c r="I215" i="8"/>
  <c r="H215" i="8"/>
  <c r="I214" i="8"/>
  <c r="H214" i="8"/>
  <c r="I213" i="8"/>
  <c r="H213" i="8"/>
  <c r="I212" i="8"/>
  <c r="H212" i="8"/>
  <c r="I211" i="8"/>
  <c r="H211" i="8"/>
  <c r="I210" i="8"/>
  <c r="H210" i="8"/>
  <c r="I209" i="8"/>
  <c r="H209" i="8"/>
  <c r="I208" i="8"/>
  <c r="H208" i="8"/>
  <c r="I207" i="8"/>
  <c r="H207" i="8"/>
  <c r="I206" i="8"/>
  <c r="H206" i="8"/>
  <c r="J206" i="8" s="1"/>
  <c r="I205" i="8"/>
  <c r="H205" i="8"/>
  <c r="I204" i="8"/>
  <c r="H204" i="8"/>
  <c r="I203" i="8"/>
  <c r="H203" i="8"/>
  <c r="I202" i="8"/>
  <c r="H202" i="8"/>
  <c r="I201" i="8"/>
  <c r="H201" i="8"/>
  <c r="I200" i="8"/>
  <c r="H200" i="8"/>
  <c r="I199" i="8"/>
  <c r="H199" i="8"/>
  <c r="I198" i="8"/>
  <c r="H198" i="8"/>
  <c r="I197" i="8"/>
  <c r="H197" i="8"/>
  <c r="I196" i="8"/>
  <c r="H196" i="8"/>
  <c r="I195" i="8"/>
  <c r="H195" i="8"/>
  <c r="I194" i="8"/>
  <c r="H194" i="8"/>
  <c r="I193" i="8"/>
  <c r="H193" i="8"/>
  <c r="I192" i="8"/>
  <c r="H192" i="8"/>
  <c r="I191" i="8"/>
  <c r="H191" i="8"/>
  <c r="I190" i="8"/>
  <c r="J190" i="8" s="1"/>
  <c r="I189" i="8"/>
  <c r="H189" i="8"/>
  <c r="I188" i="8"/>
  <c r="H188" i="8"/>
  <c r="I187" i="8"/>
  <c r="H187" i="8"/>
  <c r="J187" i="8" s="1"/>
  <c r="I186" i="8"/>
  <c r="H186" i="8"/>
  <c r="J186" i="8" s="1"/>
  <c r="I185" i="8"/>
  <c r="H185" i="8"/>
  <c r="H184" i="8"/>
  <c r="I184" i="8"/>
  <c r="I183" i="8"/>
  <c r="H183" i="8"/>
  <c r="I182" i="8"/>
  <c r="H182" i="8"/>
  <c r="I181" i="8"/>
  <c r="H181" i="8"/>
  <c r="I180" i="8"/>
  <c r="H180" i="8"/>
  <c r="I179" i="8"/>
  <c r="H179" i="8"/>
  <c r="I178" i="8"/>
  <c r="H178" i="8"/>
  <c r="I177" i="8"/>
  <c r="H177" i="8"/>
  <c r="I176" i="8"/>
  <c r="H176" i="8"/>
  <c r="H175" i="8"/>
  <c r="J175" i="8" s="1"/>
  <c r="I174" i="8"/>
  <c r="H174" i="8"/>
  <c r="I173" i="8"/>
  <c r="H173" i="8"/>
  <c r="I172" i="8"/>
  <c r="H172" i="8"/>
  <c r="I171" i="8"/>
  <c r="H171" i="8"/>
  <c r="I170" i="8"/>
  <c r="H170" i="8"/>
  <c r="I169" i="8"/>
  <c r="H169" i="8"/>
  <c r="I168" i="8"/>
  <c r="H168" i="8"/>
  <c r="I167" i="8"/>
  <c r="H167" i="8"/>
  <c r="I166" i="8"/>
  <c r="H166" i="8"/>
  <c r="I165" i="8"/>
  <c r="H165" i="8"/>
  <c r="I164" i="8"/>
  <c r="H164" i="8"/>
  <c r="I163" i="8"/>
  <c r="H163" i="8"/>
  <c r="I162" i="8"/>
  <c r="H162" i="8"/>
  <c r="I161" i="8"/>
  <c r="H161" i="8"/>
  <c r="I160" i="8"/>
  <c r="H160" i="8"/>
  <c r="I159" i="8"/>
  <c r="H159" i="8"/>
  <c r="H158" i="8"/>
  <c r="J158" i="8" s="1"/>
  <c r="I157" i="8"/>
  <c r="H157" i="8"/>
  <c r="H156" i="8"/>
  <c r="J156" i="8" s="1"/>
  <c r="I155" i="8"/>
  <c r="H155" i="8"/>
  <c r="I154" i="8"/>
  <c r="J154" i="8" s="1"/>
  <c r="I153" i="8"/>
  <c r="J153" i="8" s="1"/>
  <c r="I152" i="8"/>
  <c r="H152" i="8"/>
  <c r="I151" i="8"/>
  <c r="I150" i="8"/>
  <c r="H150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J144" i="8" s="1"/>
  <c r="I143" i="8"/>
  <c r="H143" i="8"/>
  <c r="J143" i="8" s="1"/>
  <c r="I142" i="8"/>
  <c r="J142" i="8" s="1"/>
  <c r="E141" i="8"/>
  <c r="I141" i="8" s="1"/>
  <c r="H140" i="8"/>
  <c r="I140" i="8"/>
  <c r="I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I130" i="8"/>
  <c r="H130" i="8"/>
  <c r="I129" i="8"/>
  <c r="I128" i="8"/>
  <c r="H128" i="8"/>
  <c r="I127" i="8"/>
  <c r="I126" i="8"/>
  <c r="H126" i="8"/>
  <c r="I125" i="8"/>
  <c r="H124" i="8"/>
  <c r="I123" i="8"/>
  <c r="H122" i="8"/>
  <c r="I122" i="8"/>
  <c r="I121" i="8"/>
  <c r="H120" i="8"/>
  <c r="I119" i="8"/>
  <c r="H119" i="8"/>
  <c r="I118" i="8"/>
  <c r="H118" i="8"/>
  <c r="I117" i="8"/>
  <c r="E116" i="8"/>
  <c r="I116" i="8" s="1"/>
  <c r="I115" i="8"/>
  <c r="H114" i="8"/>
  <c r="I114" i="8"/>
  <c r="I113" i="8"/>
  <c r="H112" i="8"/>
  <c r="I111" i="8"/>
  <c r="H110" i="8"/>
  <c r="I110" i="8"/>
  <c r="I109" i="8"/>
  <c r="I108" i="8"/>
  <c r="H108" i="8"/>
  <c r="I107" i="8"/>
  <c r="H106" i="8"/>
  <c r="I106" i="8"/>
  <c r="I105" i="8"/>
  <c r="H105" i="8"/>
  <c r="H104" i="8"/>
  <c r="I104" i="8"/>
  <c r="I103" i="8"/>
  <c r="H103" i="8"/>
  <c r="I102" i="8"/>
  <c r="H102" i="8"/>
  <c r="I101" i="8"/>
  <c r="J101" i="8" s="1"/>
  <c r="I100" i="8"/>
  <c r="J100" i="8" s="1"/>
  <c r="I99" i="8"/>
  <c r="J99" i="8" s="1"/>
  <c r="I98" i="8"/>
  <c r="H97" i="8"/>
  <c r="I97" i="8"/>
  <c r="I96" i="8"/>
  <c r="H96" i="8"/>
  <c r="I95" i="8"/>
  <c r="H95" i="8"/>
  <c r="I94" i="8"/>
  <c r="H94" i="8"/>
  <c r="H93" i="8"/>
  <c r="I92" i="8"/>
  <c r="H92" i="8"/>
  <c r="I91" i="8"/>
  <c r="H91" i="8"/>
  <c r="I90" i="8"/>
  <c r="I89" i="8"/>
  <c r="H89" i="8"/>
  <c r="H88" i="8"/>
  <c r="I87" i="8"/>
  <c r="H87" i="8"/>
  <c r="I86" i="8"/>
  <c r="H86" i="8"/>
  <c r="I85" i="8"/>
  <c r="J85" i="8" s="1"/>
  <c r="I84" i="8"/>
  <c r="H84" i="8"/>
  <c r="I83" i="8"/>
  <c r="H83" i="8"/>
  <c r="H82" i="8"/>
  <c r="J82" i="8" s="1"/>
  <c r="H81" i="8"/>
  <c r="J81" i="8" s="1"/>
  <c r="H79" i="8"/>
  <c r="J79" i="8" s="1"/>
  <c r="I77" i="8"/>
  <c r="J77" i="8" s="1"/>
  <c r="I75" i="8"/>
  <c r="J75" i="8" s="1"/>
  <c r="I74" i="8"/>
  <c r="H74" i="8"/>
  <c r="J74" i="8" s="1"/>
  <c r="I73" i="8"/>
  <c r="H73" i="8"/>
  <c r="E72" i="8"/>
  <c r="I72" i="8" s="1"/>
  <c r="J72" i="8" s="1"/>
  <c r="H71" i="8"/>
  <c r="J71" i="8" s="1"/>
  <c r="H70" i="8"/>
  <c r="J70" i="8" s="1"/>
  <c r="H69" i="8"/>
  <c r="J69" i="8" s="1"/>
  <c r="H68" i="8"/>
  <c r="J68" i="8" s="1"/>
  <c r="H67" i="8"/>
  <c r="J67" i="8" s="1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H49" i="8"/>
  <c r="H48" i="8"/>
  <c r="J48" i="8" s="1"/>
  <c r="H47" i="8"/>
  <c r="J47" i="8" s="1"/>
  <c r="H46" i="8"/>
  <c r="I46" i="8"/>
  <c r="E45" i="8"/>
  <c r="H45" i="8" s="1"/>
  <c r="J45" i="8" s="1"/>
  <c r="E44" i="8"/>
  <c r="H44" i="8" s="1"/>
  <c r="J44" i="8" s="1"/>
  <c r="H43" i="8"/>
  <c r="J43" i="8" s="1"/>
  <c r="E42" i="8"/>
  <c r="E41" i="8"/>
  <c r="H41" i="8" s="1"/>
  <c r="J41" i="8" s="1"/>
  <c r="I39" i="8"/>
  <c r="H39" i="8"/>
  <c r="H38" i="8"/>
  <c r="I38" i="8"/>
  <c r="I37" i="8"/>
  <c r="I36" i="8"/>
  <c r="H36" i="8"/>
  <c r="I35" i="8"/>
  <c r="H35" i="8"/>
  <c r="E34" i="8"/>
  <c r="H34" i="8" s="1"/>
  <c r="I33" i="8"/>
  <c r="H33" i="8"/>
  <c r="I32" i="8"/>
  <c r="H32" i="8"/>
  <c r="I31" i="8"/>
  <c r="H31" i="8"/>
  <c r="I30" i="8"/>
  <c r="H30" i="8"/>
  <c r="I29" i="8"/>
  <c r="H29" i="8"/>
  <c r="E28" i="8"/>
  <c r="I28" i="8" s="1"/>
  <c r="I27" i="8"/>
  <c r="H27" i="8"/>
  <c r="I26" i="8"/>
  <c r="H26" i="8"/>
  <c r="I25" i="8"/>
  <c r="J25" i="8" s="1"/>
  <c r="I23" i="8"/>
  <c r="J23" i="8" s="1"/>
  <c r="I325" i="9" l="1"/>
  <c r="J24" i="9"/>
  <c r="J22" i="9" s="1"/>
  <c r="K467" i="9"/>
  <c r="I220" i="9"/>
  <c r="G220" i="9" s="1"/>
  <c r="G24" i="9"/>
  <c r="K24" i="9"/>
  <c r="K142" i="9"/>
  <c r="K101" i="9"/>
  <c r="I22" i="9"/>
  <c r="K39" i="9"/>
  <c r="K227" i="9"/>
  <c r="I153" i="9"/>
  <c r="K153" i="9" s="1"/>
  <c r="J289" i="9"/>
  <c r="K289" i="9" s="1"/>
  <c r="K251" i="9"/>
  <c r="K274" i="9"/>
  <c r="K281" i="9"/>
  <c r="K262" i="9"/>
  <c r="K221" i="9"/>
  <c r="K325" i="9"/>
  <c r="J321" i="9"/>
  <c r="K327" i="9"/>
  <c r="K323" i="9"/>
  <c r="K346" i="9"/>
  <c r="J406" i="9"/>
  <c r="K431" i="9"/>
  <c r="K453" i="9"/>
  <c r="K445" i="9" s="1"/>
  <c r="J445" i="9"/>
  <c r="I406" i="9"/>
  <c r="J407" i="9"/>
  <c r="K443" i="9"/>
  <c r="I423" i="9"/>
  <c r="K415" i="9"/>
  <c r="K406" i="9" s="1"/>
  <c r="I329" i="9"/>
  <c r="K387" i="9"/>
  <c r="I387" i="9"/>
  <c r="J357" i="9"/>
  <c r="J329" i="9"/>
  <c r="J320" i="9" s="1"/>
  <c r="J319" i="9" s="1"/>
  <c r="K364" i="9"/>
  <c r="K358" i="9"/>
  <c r="I357" i="9"/>
  <c r="K337" i="9"/>
  <c r="K222" i="9"/>
  <c r="J476" i="8"/>
  <c r="J135" i="8"/>
  <c r="J200" i="8"/>
  <c r="J62" i="8"/>
  <c r="J92" i="8"/>
  <c r="J105" i="8"/>
  <c r="J64" i="8"/>
  <c r="J475" i="8"/>
  <c r="J57" i="8"/>
  <c r="J86" i="8"/>
  <c r="J27" i="8"/>
  <c r="J94" i="8"/>
  <c r="J161" i="8"/>
  <c r="J192" i="8"/>
  <c r="J212" i="8"/>
  <c r="J102" i="8"/>
  <c r="J152" i="8"/>
  <c r="J174" i="8"/>
  <c r="J30" i="8"/>
  <c r="J150" i="8"/>
  <c r="J232" i="8"/>
  <c r="J481" i="8"/>
  <c r="J147" i="8"/>
  <c r="J180" i="8"/>
  <c r="E417" i="8"/>
  <c r="I417" i="8" s="1"/>
  <c r="J119" i="8"/>
  <c r="J167" i="8"/>
  <c r="E298" i="8"/>
  <c r="I298" i="8" s="1"/>
  <c r="E326" i="8"/>
  <c r="I326" i="8" s="1"/>
  <c r="J326" i="8" s="1"/>
  <c r="J182" i="8"/>
  <c r="J33" i="8"/>
  <c r="J194" i="8"/>
  <c r="J214" i="8"/>
  <c r="J58" i="8"/>
  <c r="J87" i="8"/>
  <c r="E327" i="8"/>
  <c r="H327" i="8" s="1"/>
  <c r="I329" i="8"/>
  <c r="J329" i="8" s="1"/>
  <c r="E323" i="8"/>
  <c r="H323" i="8" s="1"/>
  <c r="I372" i="8"/>
  <c r="J372" i="8" s="1"/>
  <c r="H116" i="8"/>
  <c r="J116" i="8" s="1"/>
  <c r="J59" i="8"/>
  <c r="J193" i="8"/>
  <c r="E359" i="8"/>
  <c r="H359" i="8" s="1"/>
  <c r="H418" i="8"/>
  <c r="J418" i="8" s="1"/>
  <c r="J95" i="8"/>
  <c r="J145" i="8"/>
  <c r="J188" i="8"/>
  <c r="E238" i="8"/>
  <c r="H238" i="8" s="1"/>
  <c r="E331" i="8"/>
  <c r="I331" i="8" s="1"/>
  <c r="H334" i="8"/>
  <c r="J334" i="8" s="1"/>
  <c r="E374" i="8"/>
  <c r="H374" i="8" s="1"/>
  <c r="H339" i="8"/>
  <c r="J339" i="8" s="1"/>
  <c r="H299" i="8"/>
  <c r="J299" i="8" s="1"/>
  <c r="E40" i="8"/>
  <c r="H40" i="8" s="1"/>
  <c r="J108" i="8"/>
  <c r="J168" i="8"/>
  <c r="J199" i="8"/>
  <c r="E313" i="8"/>
  <c r="H313" i="8" s="1"/>
  <c r="J32" i="8"/>
  <c r="I312" i="8"/>
  <c r="J312" i="8" s="1"/>
  <c r="E398" i="8"/>
  <c r="I398" i="8" s="1"/>
  <c r="J136" i="8"/>
  <c r="J160" i="8"/>
  <c r="J211" i="8"/>
  <c r="E222" i="8"/>
  <c r="H222" i="8" s="1"/>
  <c r="E367" i="8"/>
  <c r="I367" i="8" s="1"/>
  <c r="H376" i="8"/>
  <c r="J376" i="8" s="1"/>
  <c r="J181" i="8"/>
  <c r="J56" i="8"/>
  <c r="J164" i="8"/>
  <c r="J184" i="8"/>
  <c r="J198" i="8"/>
  <c r="J218" i="8"/>
  <c r="J46" i="8"/>
  <c r="J209" i="8"/>
  <c r="J89" i="8"/>
  <c r="J217" i="8"/>
  <c r="I93" i="8"/>
  <c r="J93" i="8" s="1"/>
  <c r="J159" i="8"/>
  <c r="H354" i="8"/>
  <c r="J354" i="8" s="1"/>
  <c r="J37" i="8"/>
  <c r="J128" i="8"/>
  <c r="J185" i="8"/>
  <c r="J205" i="8"/>
  <c r="J55" i="8"/>
  <c r="J176" i="8"/>
  <c r="H393" i="8"/>
  <c r="J393" i="8" s="1"/>
  <c r="J172" i="8"/>
  <c r="J155" i="8"/>
  <c r="J169" i="8"/>
  <c r="J196" i="8"/>
  <c r="J39" i="8"/>
  <c r="J423" i="8"/>
  <c r="J97" i="8"/>
  <c r="J133" i="8"/>
  <c r="J148" i="8"/>
  <c r="J183" i="8"/>
  <c r="J203" i="8"/>
  <c r="H255" i="8"/>
  <c r="J255" i="8" s="1"/>
  <c r="J472" i="8"/>
  <c r="J166" i="8"/>
  <c r="H457" i="8"/>
  <c r="J457" i="8" s="1"/>
  <c r="J163" i="8"/>
  <c r="J469" i="8"/>
  <c r="J137" i="8"/>
  <c r="J208" i="8"/>
  <c r="J132" i="8"/>
  <c r="J50" i="8"/>
  <c r="J63" i="8"/>
  <c r="J83" i="8"/>
  <c r="J91" i="8"/>
  <c r="J170" i="8"/>
  <c r="J197" i="8"/>
  <c r="J210" i="8"/>
  <c r="J257" i="8"/>
  <c r="J479" i="8"/>
  <c r="J213" i="8"/>
  <c r="H390" i="8"/>
  <c r="J390" i="8" s="1"/>
  <c r="J146" i="8"/>
  <c r="J36" i="8"/>
  <c r="J134" i="8"/>
  <c r="J149" i="8"/>
  <c r="J204" i="8"/>
  <c r="J411" i="8"/>
  <c r="H107" i="8"/>
  <c r="J107" i="8" s="1"/>
  <c r="H301" i="8"/>
  <c r="J301" i="8" s="1"/>
  <c r="H473" i="8"/>
  <c r="J473" i="8" s="1"/>
  <c r="J178" i="8"/>
  <c r="J191" i="8"/>
  <c r="J215" i="8"/>
  <c r="H400" i="8"/>
  <c r="J400" i="8" s="1"/>
  <c r="H427" i="8"/>
  <c r="J427" i="8" s="1"/>
  <c r="I49" i="8"/>
  <c r="J49" i="8" s="1"/>
  <c r="H333" i="8"/>
  <c r="J333" i="8" s="1"/>
  <c r="J103" i="8"/>
  <c r="H260" i="8"/>
  <c r="J260" i="8" s="1"/>
  <c r="H396" i="8"/>
  <c r="J396" i="8" s="1"/>
  <c r="E224" i="8"/>
  <c r="H224" i="8" s="1"/>
  <c r="H375" i="8"/>
  <c r="J375" i="8" s="1"/>
  <c r="H482" i="8"/>
  <c r="J482" i="8" s="1"/>
  <c r="I294" i="8"/>
  <c r="J294" i="8" s="1"/>
  <c r="H350" i="8"/>
  <c r="J350" i="8" s="1"/>
  <c r="E225" i="8"/>
  <c r="H225" i="8" s="1"/>
  <c r="J110" i="8"/>
  <c r="J162" i="8"/>
  <c r="J65" i="8"/>
  <c r="J96" i="8"/>
  <c r="J104" i="8"/>
  <c r="J130" i="8"/>
  <c r="J157" i="8"/>
  <c r="J201" i="8"/>
  <c r="J207" i="8"/>
  <c r="H344" i="8"/>
  <c r="J344" i="8" s="1"/>
  <c r="H361" i="8"/>
  <c r="J361" i="8" s="1"/>
  <c r="H448" i="8"/>
  <c r="J448" i="8" s="1"/>
  <c r="I444" i="8"/>
  <c r="J444" i="8" s="1"/>
  <c r="J118" i="8"/>
  <c r="H259" i="8"/>
  <c r="J259" i="8" s="1"/>
  <c r="I412" i="8"/>
  <c r="J412" i="8" s="1"/>
  <c r="J31" i="8"/>
  <c r="J51" i="8"/>
  <c r="J26" i="8"/>
  <c r="J52" i="8"/>
  <c r="J219" i="8"/>
  <c r="J29" i="8"/>
  <c r="H80" i="8"/>
  <c r="J80" i="8" s="1"/>
  <c r="H267" i="8"/>
  <c r="J267" i="8" s="1"/>
  <c r="J280" i="8"/>
  <c r="H371" i="8"/>
  <c r="J371" i="8" s="1"/>
  <c r="H441" i="8"/>
  <c r="J441" i="8" s="1"/>
  <c r="J189" i="8"/>
  <c r="J202" i="8"/>
  <c r="I281" i="8"/>
  <c r="H366" i="8"/>
  <c r="H265" i="8"/>
  <c r="J265" i="8" s="1"/>
  <c r="H276" i="8"/>
  <c r="J276" i="8" s="1"/>
  <c r="J53" i="8"/>
  <c r="J73" i="8"/>
  <c r="J106" i="8"/>
  <c r="J138" i="8"/>
  <c r="J177" i="8"/>
  <c r="H345" i="8"/>
  <c r="J345" i="8" s="1"/>
  <c r="H480" i="8"/>
  <c r="J480" i="8" s="1"/>
  <c r="J179" i="8"/>
  <c r="J173" i="8"/>
  <c r="H305" i="8"/>
  <c r="J305" i="8" s="1"/>
  <c r="J60" i="8"/>
  <c r="J84" i="8"/>
  <c r="J165" i="8"/>
  <c r="J171" i="8"/>
  <c r="J220" i="8"/>
  <c r="H283" i="8"/>
  <c r="J283" i="8" s="1"/>
  <c r="I310" i="8"/>
  <c r="J310" i="8" s="1"/>
  <c r="I465" i="8"/>
  <c r="J465" i="8" s="1"/>
  <c r="I366" i="8"/>
  <c r="H397" i="8"/>
  <c r="J397" i="8" s="1"/>
  <c r="H405" i="8"/>
  <c r="J405" i="8" s="1"/>
  <c r="H429" i="8"/>
  <c r="J429" i="8" s="1"/>
  <c r="H415" i="8"/>
  <c r="J415" i="8" s="1"/>
  <c r="I406" i="8"/>
  <c r="H406" i="8"/>
  <c r="H342" i="8"/>
  <c r="J342" i="8" s="1"/>
  <c r="E338" i="8"/>
  <c r="H445" i="8"/>
  <c r="J445" i="8" s="1"/>
  <c r="I478" i="8"/>
  <c r="J478" i="8" s="1"/>
  <c r="E432" i="8"/>
  <c r="H435" i="8"/>
  <c r="J435" i="8" s="1"/>
  <c r="H76" i="8"/>
  <c r="H337" i="8"/>
  <c r="J337" i="8" s="1"/>
  <c r="H355" i="8"/>
  <c r="J355" i="8" s="1"/>
  <c r="H401" i="8"/>
  <c r="J401" i="8" s="1"/>
  <c r="H241" i="8"/>
  <c r="J241" i="8" s="1"/>
  <c r="H311" i="8"/>
  <c r="J38" i="8"/>
  <c r="H341" i="8"/>
  <c r="J341" i="8" s="1"/>
  <c r="H113" i="8"/>
  <c r="J113" i="8" s="1"/>
  <c r="E263" i="8"/>
  <c r="I311" i="8"/>
  <c r="I112" i="8"/>
  <c r="J112" i="8" s="1"/>
  <c r="H391" i="8"/>
  <c r="J391" i="8" s="1"/>
  <c r="I296" i="8"/>
  <c r="J296" i="8" s="1"/>
  <c r="J195" i="8"/>
  <c r="I356" i="8"/>
  <c r="H356" i="8"/>
  <c r="I365" i="8"/>
  <c r="H365" i="8"/>
  <c r="H352" i="8"/>
  <c r="J352" i="8" s="1"/>
  <c r="H462" i="8"/>
  <c r="J462" i="8" s="1"/>
  <c r="H302" i="8"/>
  <c r="J302" i="8" s="1"/>
  <c r="H279" i="8"/>
  <c r="J279" i="8" s="1"/>
  <c r="H98" i="8"/>
  <c r="J98" i="8" s="1"/>
  <c r="H90" i="8"/>
  <c r="J90" i="8" s="1"/>
  <c r="H362" i="8"/>
  <c r="J362" i="8" s="1"/>
  <c r="E453" i="8"/>
  <c r="I253" i="8"/>
  <c r="H253" i="8"/>
  <c r="E336" i="8"/>
  <c r="E325" i="8"/>
  <c r="I325" i="8" s="1"/>
  <c r="H271" i="8"/>
  <c r="J271" i="8" s="1"/>
  <c r="H477" i="8"/>
  <c r="J477" i="8" s="1"/>
  <c r="I387" i="8"/>
  <c r="H285" i="8"/>
  <c r="J285" i="8" s="1"/>
  <c r="J122" i="8"/>
  <c r="H42" i="8"/>
  <c r="J42" i="8" s="1"/>
  <c r="H78" i="8"/>
  <c r="J78" i="8" s="1"/>
  <c r="J468" i="8"/>
  <c r="H297" i="8"/>
  <c r="E347" i="8"/>
  <c r="H129" i="8"/>
  <c r="J129" i="8" s="1"/>
  <c r="I474" i="8"/>
  <c r="J474" i="8" s="1"/>
  <c r="H348" i="8"/>
  <c r="J348" i="8" s="1"/>
  <c r="I34" i="8"/>
  <c r="J34" i="8" s="1"/>
  <c r="H446" i="8"/>
  <c r="J446" i="8" s="1"/>
  <c r="J114" i="8"/>
  <c r="K149" i="8"/>
  <c r="H228" i="8"/>
  <c r="J228" i="8" s="1"/>
  <c r="H420" i="8"/>
  <c r="J420" i="8" s="1"/>
  <c r="H436" i="8"/>
  <c r="J436" i="8" s="1"/>
  <c r="J470" i="8"/>
  <c r="H317" i="8"/>
  <c r="J317" i="8" s="1"/>
  <c r="I124" i="8"/>
  <c r="J124" i="8" s="1"/>
  <c r="I88" i="8"/>
  <c r="J88" i="8" s="1"/>
  <c r="I425" i="8"/>
  <c r="H425" i="8"/>
  <c r="H109" i="8"/>
  <c r="J109" i="8" s="1"/>
  <c r="J140" i="8"/>
  <c r="H254" i="8"/>
  <c r="J254" i="8" s="1"/>
  <c r="H451" i="8"/>
  <c r="J451" i="8" s="1"/>
  <c r="H440" i="8"/>
  <c r="J440" i="8" s="1"/>
  <c r="H28" i="8"/>
  <c r="J28" i="8" s="1"/>
  <c r="H387" i="8"/>
  <c r="H414" i="8"/>
  <c r="J414" i="8" s="1"/>
  <c r="H287" i="8"/>
  <c r="J287" i="8" s="1"/>
  <c r="J35" i="8"/>
  <c r="J54" i="8"/>
  <c r="J66" i="8"/>
  <c r="I273" i="8"/>
  <c r="H273" i="8"/>
  <c r="H402" i="8"/>
  <c r="J402" i="8" s="1"/>
  <c r="H363" i="8"/>
  <c r="J363" i="8" s="1"/>
  <c r="H377" i="8"/>
  <c r="J377" i="8" s="1"/>
  <c r="H459" i="8"/>
  <c r="J459" i="8" s="1"/>
  <c r="H139" i="8"/>
  <c r="J139" i="8" s="1"/>
  <c r="H413" i="8"/>
  <c r="J413" i="8" s="1"/>
  <c r="H343" i="8"/>
  <c r="J343" i="8" s="1"/>
  <c r="H293" i="8"/>
  <c r="J293" i="8" s="1"/>
  <c r="H485" i="8"/>
  <c r="J485" i="8" s="1"/>
  <c r="H131" i="8"/>
  <c r="J131" i="8" s="1"/>
  <c r="I120" i="8"/>
  <c r="J120" i="8" s="1"/>
  <c r="H151" i="8"/>
  <c r="J151" i="8" s="1"/>
  <c r="H300" i="8"/>
  <c r="J300" i="8" s="1"/>
  <c r="H360" i="8"/>
  <c r="J360" i="8" s="1"/>
  <c r="E389" i="8"/>
  <c r="E282" i="8"/>
  <c r="I292" i="8"/>
  <c r="J292" i="8" s="1"/>
  <c r="H382" i="8"/>
  <c r="J382" i="8" s="1"/>
  <c r="H369" i="8"/>
  <c r="J369" i="8" s="1"/>
  <c r="J61" i="8"/>
  <c r="E226" i="8"/>
  <c r="I250" i="8"/>
  <c r="J250" i="8" s="1"/>
  <c r="H466" i="8"/>
  <c r="J466" i="8" s="1"/>
  <c r="H307" i="8"/>
  <c r="J307" i="8" s="1"/>
  <c r="J126" i="8"/>
  <c r="I384" i="8"/>
  <c r="H384" i="8"/>
  <c r="H410" i="8"/>
  <c r="J410" i="8" s="1"/>
  <c r="H127" i="8"/>
  <c r="J127" i="8" s="1"/>
  <c r="H278" i="8"/>
  <c r="J278" i="8" s="1"/>
  <c r="H289" i="8"/>
  <c r="J289" i="8" s="1"/>
  <c r="H230" i="8"/>
  <c r="J230" i="8" s="1"/>
  <c r="H270" i="8"/>
  <c r="J270" i="8" s="1"/>
  <c r="H251" i="8"/>
  <c r="J251" i="8" s="1"/>
  <c r="K220" i="9" l="1"/>
  <c r="H24" i="9"/>
  <c r="I320" i="9"/>
  <c r="H320" i="9"/>
  <c r="K321" i="9"/>
  <c r="I99" i="9"/>
  <c r="J220" i="9"/>
  <c r="H220" i="9" s="1"/>
  <c r="K423" i="9"/>
  <c r="K329" i="9"/>
  <c r="K407" i="9"/>
  <c r="K357" i="9"/>
  <c r="J365" i="8"/>
  <c r="I313" i="8"/>
  <c r="J313" i="8" s="1"/>
  <c r="I327" i="8"/>
  <c r="J327" i="8" s="1"/>
  <c r="H417" i="8"/>
  <c r="J417" i="8" s="1"/>
  <c r="I359" i="8"/>
  <c r="J359" i="8" s="1"/>
  <c r="I323" i="8"/>
  <c r="J323" i="8" s="1"/>
  <c r="E309" i="8"/>
  <c r="I309" i="8" s="1"/>
  <c r="J309" i="8" s="1"/>
  <c r="H298" i="8"/>
  <c r="J298" i="8" s="1"/>
  <c r="H398" i="8"/>
  <c r="J398" i="8" s="1"/>
  <c r="I374" i="8"/>
  <c r="J374" i="8" s="1"/>
  <c r="E223" i="8"/>
  <c r="H223" i="8" s="1"/>
  <c r="I222" i="8"/>
  <c r="J222" i="8" s="1"/>
  <c r="J273" i="8"/>
  <c r="I238" i="8"/>
  <c r="J238" i="8" s="1"/>
  <c r="H367" i="8"/>
  <c r="J367" i="8" s="1"/>
  <c r="H331" i="8"/>
  <c r="J331" i="8" s="1"/>
  <c r="I40" i="8"/>
  <c r="J40" i="8" s="1"/>
  <c r="J366" i="8"/>
  <c r="J387" i="8"/>
  <c r="J425" i="8"/>
  <c r="I224" i="8"/>
  <c r="J224" i="8" s="1"/>
  <c r="J311" i="8"/>
  <c r="H281" i="8"/>
  <c r="J281" i="8" s="1"/>
  <c r="I225" i="8"/>
  <c r="J225" i="8" s="1"/>
  <c r="I336" i="8"/>
  <c r="H336" i="8"/>
  <c r="H407" i="8"/>
  <c r="J407" i="8" s="1"/>
  <c r="I76" i="8"/>
  <c r="J76" i="8" s="1"/>
  <c r="H386" i="8"/>
  <c r="H389" i="8"/>
  <c r="I389" i="8"/>
  <c r="J384" i="8"/>
  <c r="J253" i="8"/>
  <c r="J356" i="8"/>
  <c r="E324" i="8"/>
  <c r="H450" i="8"/>
  <c r="J450" i="8" s="1"/>
  <c r="H346" i="8"/>
  <c r="J346" i="8" s="1"/>
  <c r="I226" i="8"/>
  <c r="H226" i="8"/>
  <c r="E221" i="8"/>
  <c r="I221" i="8" s="1"/>
  <c r="J221" i="8" s="1"/>
  <c r="H121" i="8"/>
  <c r="J121" i="8" s="1"/>
  <c r="H111" i="8"/>
  <c r="J111" i="8" s="1"/>
  <c r="H117" i="8"/>
  <c r="J117" i="8" s="1"/>
  <c r="H357" i="8"/>
  <c r="J357" i="8" s="1"/>
  <c r="H308" i="8"/>
  <c r="J308" i="8" s="1"/>
  <c r="H231" i="8"/>
  <c r="J231" i="8" s="1"/>
  <c r="I338" i="8"/>
  <c r="H338" i="8"/>
  <c r="I453" i="8"/>
  <c r="H453" i="8"/>
  <c r="I432" i="8"/>
  <c r="H432" i="8"/>
  <c r="I282" i="8"/>
  <c r="H282" i="8"/>
  <c r="J282" i="8" s="1"/>
  <c r="H256" i="8"/>
  <c r="J256" i="8" s="1"/>
  <c r="E328" i="8"/>
  <c r="I347" i="8"/>
  <c r="H347" i="8"/>
  <c r="I263" i="8"/>
  <c r="H263" i="8"/>
  <c r="J115" i="8"/>
  <c r="H123" i="8"/>
  <c r="J123" i="8" s="1"/>
  <c r="H141" i="8"/>
  <c r="J141" i="8" s="1"/>
  <c r="I385" i="8"/>
  <c r="J385" i="8" s="1"/>
  <c r="H125" i="8"/>
  <c r="J125" i="8" s="1"/>
  <c r="I297" i="8"/>
  <c r="J297" i="8" s="1"/>
  <c r="E321" i="8"/>
  <c r="I321" i="8" s="1"/>
  <c r="J321" i="8" s="1"/>
  <c r="H325" i="8"/>
  <c r="J325" i="8" s="1"/>
  <c r="E322" i="8"/>
  <c r="I322" i="8" s="1"/>
  <c r="J322" i="8" s="1"/>
  <c r="J406" i="8"/>
  <c r="H274" i="8"/>
  <c r="J274" i="8" s="1"/>
  <c r="K320" i="9" l="1"/>
  <c r="I319" i="9"/>
  <c r="K319" i="9" s="1"/>
  <c r="G320" i="9"/>
  <c r="J99" i="9"/>
  <c r="K99" i="9" s="1"/>
  <c r="I223" i="8"/>
  <c r="J223" i="8" s="1"/>
  <c r="J336" i="8"/>
  <c r="J263" i="8"/>
  <c r="J347" i="8"/>
  <c r="J453" i="8"/>
  <c r="J338" i="8"/>
  <c r="I324" i="8"/>
  <c r="H324" i="8"/>
  <c r="I386" i="8"/>
  <c r="J386" i="8" s="1"/>
  <c r="J389" i="8"/>
  <c r="H328" i="8"/>
  <c r="I328" i="8"/>
  <c r="J432" i="8"/>
  <c r="J226" i="8"/>
  <c r="J490" i="8" l="1"/>
  <c r="J324" i="8"/>
  <c r="J328" i="8"/>
  <c r="J491" i="8" l="1"/>
  <c r="L20" i="8"/>
  <c r="D75" i="6"/>
  <c r="D74" i="6"/>
  <c r="D73" i="6"/>
  <c r="D72" i="6"/>
  <c r="D71" i="6"/>
  <c r="D26" i="4" l="1"/>
  <c r="D115" i="4"/>
  <c r="D140" i="4"/>
  <c r="D254" i="4"/>
  <c r="D252" i="4"/>
  <c r="C325" i="4"/>
  <c r="C321" i="4"/>
  <c r="D466" i="4"/>
  <c r="C466" i="4"/>
  <c r="D328" i="4"/>
  <c r="D325" i="4" s="1"/>
  <c r="D463" i="4"/>
  <c r="D462" i="4"/>
  <c r="D461" i="4"/>
  <c r="D460" i="4"/>
  <c r="D459" i="4"/>
  <c r="D458" i="4"/>
  <c r="D457" i="4"/>
  <c r="D456" i="4"/>
  <c r="D455" i="4"/>
  <c r="D454" i="4"/>
  <c r="D453" i="4"/>
  <c r="D442" i="4"/>
  <c r="D441" i="4"/>
  <c r="D440" i="4"/>
  <c r="D439" i="4"/>
  <c r="D438" i="4"/>
  <c r="D437" i="4"/>
  <c r="D436" i="4"/>
  <c r="D435" i="4"/>
  <c r="D434" i="4"/>
  <c r="D433" i="4"/>
  <c r="D432" i="4"/>
  <c r="C424" i="4"/>
  <c r="D424" i="4"/>
  <c r="D421" i="4"/>
  <c r="D420" i="4"/>
  <c r="D419" i="4"/>
  <c r="D418" i="4"/>
  <c r="D417" i="4"/>
  <c r="D396" i="4"/>
  <c r="D395" i="4" s="1"/>
  <c r="D403" i="4"/>
  <c r="D402" i="4"/>
  <c r="D401" i="4"/>
  <c r="D400" i="4"/>
  <c r="D399" i="4"/>
  <c r="D398" i="4"/>
  <c r="D404" i="4"/>
  <c r="D406" i="4"/>
  <c r="D405" i="4" s="1"/>
  <c r="D394" i="4"/>
  <c r="D393" i="4"/>
  <c r="D392" i="4"/>
  <c r="D391" i="4"/>
  <c r="D390" i="4"/>
  <c r="D389" i="4"/>
  <c r="D370" i="4"/>
  <c r="D369" i="4"/>
  <c r="D368" i="4"/>
  <c r="D367" i="4"/>
  <c r="D365" i="4"/>
  <c r="D363" i="4"/>
  <c r="D362" i="4"/>
  <c r="D361" i="4"/>
  <c r="D360" i="4"/>
  <c r="D359" i="4"/>
  <c r="D343" i="4"/>
  <c r="D342" i="4"/>
  <c r="D341" i="4"/>
  <c r="D340" i="4"/>
  <c r="D339" i="4"/>
  <c r="D338" i="4"/>
  <c r="D336" i="4"/>
  <c r="D335" i="4" s="1"/>
  <c r="D334" i="4"/>
  <c r="D333" i="4"/>
  <c r="D332" i="4"/>
  <c r="D331" i="4"/>
  <c r="D473" i="4"/>
  <c r="D477" i="4"/>
  <c r="D479" i="4"/>
  <c r="D481" i="4"/>
  <c r="D485" i="4"/>
  <c r="D464" i="4"/>
  <c r="D445" i="4"/>
  <c r="D443" i="4"/>
  <c r="D411" i="4"/>
  <c r="D409" i="4"/>
  <c r="D322" i="4" l="1"/>
  <c r="D324" i="4"/>
  <c r="D397" i="4"/>
  <c r="D388" i="4"/>
  <c r="D431" i="4"/>
  <c r="D452" i="4"/>
  <c r="D416" i="4"/>
  <c r="D382" i="4"/>
  <c r="D381" i="4"/>
  <c r="D380" i="4"/>
  <c r="D379" i="4"/>
  <c r="D378" i="4"/>
  <c r="D377" i="4"/>
  <c r="D376" i="4"/>
  <c r="D375" i="4"/>
  <c r="D374" i="4"/>
  <c r="D487" i="4"/>
  <c r="D354" i="4"/>
  <c r="D353" i="4"/>
  <c r="D352" i="4"/>
  <c r="D351" i="4"/>
  <c r="D350" i="4"/>
  <c r="D349" i="4"/>
  <c r="D348" i="4"/>
  <c r="D347" i="4"/>
  <c r="D371" i="4"/>
  <c r="D383" i="4"/>
  <c r="D366" i="4"/>
  <c r="D364" i="4"/>
  <c r="D358" i="4"/>
  <c r="D355" i="4"/>
  <c r="D344" i="4"/>
  <c r="D337" i="4"/>
  <c r="D330" i="4"/>
  <c r="D320" i="4" l="1"/>
  <c r="D321" i="4"/>
  <c r="D323" i="4"/>
  <c r="D326" i="4"/>
  <c r="D373" i="4"/>
  <c r="D346" i="4"/>
  <c r="D327" i="4" l="1"/>
  <c r="L114" i="4"/>
  <c r="D71" i="4"/>
  <c r="D304" i="4" l="1"/>
  <c r="D303" i="4"/>
  <c r="D302" i="4"/>
  <c r="D301" i="4"/>
  <c r="D300" i="4"/>
  <c r="D299" i="4"/>
  <c r="D298" i="4"/>
  <c r="D277" i="4"/>
  <c r="D275" i="4"/>
  <c r="D306" i="4"/>
  <c r="D293" i="4"/>
  <c r="D291" i="4"/>
  <c r="D286" i="4"/>
  <c r="D285" i="4"/>
  <c r="D284" i="4"/>
  <c r="D283" i="4"/>
  <c r="D282" i="4"/>
  <c r="D288" i="4"/>
  <c r="D271" i="4"/>
  <c r="D270" i="4"/>
  <c r="D269" i="4"/>
  <c r="D268" i="4"/>
  <c r="D267" i="4"/>
  <c r="D266" i="4"/>
  <c r="D265" i="4"/>
  <c r="D264" i="4"/>
  <c r="D263" i="4"/>
  <c r="D272" i="4"/>
  <c r="D229" i="4"/>
  <c r="D227" i="4"/>
  <c r="D249" i="4"/>
  <c r="D241" i="4"/>
  <c r="D247" i="4"/>
  <c r="D246" i="4"/>
  <c r="D245" i="4"/>
  <c r="D244" i="4"/>
  <c r="D243" i="4"/>
  <c r="D242" i="4"/>
  <c r="D240" i="4"/>
  <c r="D239" i="4"/>
  <c r="D238" i="4"/>
  <c r="D32" i="4"/>
  <c r="D317" i="4"/>
  <c r="D316" i="4"/>
  <c r="D315" i="4"/>
  <c r="D314" i="4"/>
  <c r="D313" i="4"/>
  <c r="D311" i="4"/>
  <c r="D310" i="4"/>
  <c r="D309" i="4"/>
  <c r="D43" i="4"/>
  <c r="D42" i="4"/>
  <c r="D40" i="4"/>
  <c r="D39" i="4"/>
  <c r="D38" i="4" s="1"/>
  <c r="D530" i="3"/>
  <c r="D341" i="3"/>
  <c r="D340" i="3"/>
  <c r="D339" i="3"/>
  <c r="D338" i="3"/>
  <c r="D337" i="3"/>
  <c r="D335" i="3"/>
  <c r="D334" i="3"/>
  <c r="D333" i="3"/>
  <c r="D109" i="3"/>
  <c r="D105" i="3"/>
  <c r="D100" i="3"/>
  <c r="D91" i="3"/>
  <c r="D45" i="3"/>
  <c r="D44" i="3"/>
  <c r="D42" i="3"/>
  <c r="D41" i="3"/>
  <c r="D32" i="3"/>
  <c r="D237" i="4" l="1"/>
  <c r="D225" i="4"/>
  <c r="D220" i="4" s="1"/>
  <c r="D223" i="4"/>
  <c r="D224" i="4"/>
  <c r="D221" i="4"/>
  <c r="L229" i="4"/>
  <c r="D297" i="4"/>
  <c r="D281" i="4"/>
  <c r="D262" i="4"/>
  <c r="D312" i="4"/>
  <c r="D308" i="4" s="1"/>
  <c r="D336" i="3"/>
  <c r="D222" i="4" l="1"/>
  <c r="J496" i="8" l="1"/>
  <c r="K169" i="9" l="1"/>
  <c r="K72" i="9" l="1"/>
  <c r="K22" i="9" l="1"/>
  <c r="K489" i="9" s="1"/>
  <c r="M20" i="9" l="1"/>
  <c r="K490" i="9"/>
</calcChain>
</file>

<file path=xl/sharedStrings.xml><?xml version="1.0" encoding="utf-8"?>
<sst xmlns="http://schemas.openxmlformats.org/spreadsheetml/2006/main" count="5741" uniqueCount="1317">
  <si>
    <t>м3</t>
  </si>
  <si>
    <t>№ п/п</t>
  </si>
  <si>
    <t>Наименование</t>
  </si>
  <si>
    <t>Ед. изм.</t>
  </si>
  <si>
    <t>Кол-во</t>
  </si>
  <si>
    <t>Примечание</t>
  </si>
  <si>
    <t>2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</si>
  <si>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</si>
  <si>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</si>
  <si>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</si>
  <si>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</si>
  <si>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r>
      <t xml:space="preserve">Цена материала
за ед.,
</t>
    </r>
    <r>
      <rPr>
        <b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</si>
  <si>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sz val="9"/>
        <color theme="1"/>
        <rFont val="Times New Roman"/>
        <family val="1"/>
        <charset val="204"/>
      </rPr>
      <t>руб. с НДС</t>
    </r>
  </si>
  <si>
    <t>Устройство крепления (распорной системы) шпунта из трубы 530х8 ГОСТ 10704-91, Lобщ. = 114,4 м.п.</t>
  </si>
  <si>
    <t>Устройство крепления (распорной системы) шпунта из трубы 630х9 ГОСТ 10704-91, Lобщ. = 339,9 м.п.</t>
  </si>
  <si>
    <t>Устройство крепления (распорной системы) шпунта из трубы 720х10 ГОСТ 10704-91, Lобщ. = 95,3 м.п.</t>
  </si>
  <si>
    <t>2.1</t>
  </si>
  <si>
    <t>2.2</t>
  </si>
  <si>
    <t>2.3</t>
  </si>
  <si>
    <t>2.4</t>
  </si>
  <si>
    <t>2.5</t>
  </si>
  <si>
    <t>Выемка (механизированная разработка) грунта пилотного котлована до отм. +156,500</t>
  </si>
  <si>
    <t xml:space="preserve">Выемка (механизированная разработка) грунта в центральной части до планируемой отм. </t>
  </si>
  <si>
    <t>Разработка бермы до планируемой отметки</t>
  </si>
  <si>
    <t>Вывоз разработанного грунта на полигон на расстояние до 60 км (договор с полигоном на оказание услуг по утилизации - АО "ГК "ОСНОВА")</t>
  </si>
  <si>
    <t>Ручная доработка грунта (толщ. 100 мм)</t>
  </si>
  <si>
    <t>Обратная засыпка пазух песком (с послойным уплотнением и проливом через каждые 300 мм)  до низа отметки пирога благоустройства</t>
  </si>
  <si>
    <t>1.1</t>
  </si>
  <si>
    <t>1.2</t>
  </si>
  <si>
    <t>1.3</t>
  </si>
  <si>
    <t>1.4</t>
  </si>
  <si>
    <t>1.5</t>
  </si>
  <si>
    <t>1.6</t>
  </si>
  <si>
    <t>тн</t>
  </si>
  <si>
    <t>Устройство соединительных элементов, в т.ч. ЗД-1(3 шт.), ЗД-2 (21шт.):</t>
  </si>
  <si>
    <t>Арматура Ø6 А240 ГОСТ 34028-2016</t>
  </si>
  <si>
    <t>Стальная полоса -10 ГОСТ 19903-74*</t>
  </si>
  <si>
    <t>Стальная полоса -16 ГОСТ 19903-74*</t>
  </si>
  <si>
    <t>Стальная полоса -20 ГОСТ 19903-74*</t>
  </si>
  <si>
    <t>Балка двутавр 35Б1 ГОСТ 57837-2017</t>
  </si>
  <si>
    <t>допускается применение б/у материала</t>
  </si>
  <si>
    <t>Открытый водоотлив</t>
  </si>
  <si>
    <t>Отрывка грунта II группы экскаватором «обратная лопата» под зумпфы открытого водоотлива</t>
  </si>
  <si>
    <t>42</t>
  </si>
  <si>
    <t>Изготовление зумпфов из труб Д=1020 мм</t>
  </si>
  <si>
    <t>шт.</t>
  </si>
  <si>
    <t>4</t>
  </si>
  <si>
    <t>Нарезка щелей на трубе Д=1020 мм</t>
  </si>
  <si>
    <t>1024</t>
  </si>
  <si>
    <t>Монтаж и демонтаж зумпфов из трубы Д=1020 мм</t>
  </si>
  <si>
    <t>Обсыпка зумпфов щебнем фракции 5-20 мм</t>
  </si>
  <si>
    <t>38</t>
  </si>
  <si>
    <t>Монтаж и демонтаж насосов ГНОМ 16-16</t>
  </si>
  <si>
    <t>Эксплуатация насосов ГНОМ 16-16 (м-ч определяется ПОС и ППР)</t>
  </si>
  <si>
    <t>компл.</t>
  </si>
  <si>
    <t>Отрывка грунта II группы экскаватором «обратная лопата» под траншеи открытого водоотлива</t>
  </si>
  <si>
    <t>м/м3</t>
  </si>
  <si>
    <t>389/253</t>
  </si>
  <si>
    <t>Вывоз/утилизация разработанного грунта II группы на полигон на расстояние до 75 км с предоставлением талонов</t>
  </si>
  <si>
    <t>Укладка труб дренажных Д=110 мм в траншеи</t>
  </si>
  <si>
    <t>м</t>
  </si>
  <si>
    <t>100</t>
  </si>
  <si>
    <t>Обсыпка траншей щебнем фракции 5-20 мм</t>
  </si>
  <si>
    <t>Монтаж и демонтаж сбросного трубопровода Ду=80 мм</t>
  </si>
  <si>
    <t>Монтаж и демонтаж задвижек чугунных фланцевых 30ч6бр Ду=80 мм</t>
  </si>
  <si>
    <t>Монтаж и демонтаж фланцев 1-80-16 ст. 25</t>
  </si>
  <si>
    <t>Укладка и демонтаж бруса 100х100 мм, L=200 мм</t>
  </si>
  <si>
    <t>0,2</t>
  </si>
  <si>
    <t>Утепление трубопроводов шлаковатой, рубероидом, с промазкой мастикой и обкруткой проволокой (выполняется при производстве работ в зимний период)</t>
  </si>
  <si>
    <t>м/м3/м2</t>
  </si>
  <si>
    <t>265/7/159</t>
  </si>
  <si>
    <t>Устройство пласта из щебня фракции 5-20 мм t=200 мм от ограждения до траншеи</t>
  </si>
  <si>
    <t>56/34</t>
  </si>
  <si>
    <t>Электронасос ГНОМ 16-16 ГОСТ 20763-85* (расход Q=16 м³/ч, напор Н=16 м), мощность N=2,2 кВт ГОСТ 20763-85*</t>
  </si>
  <si>
    <t>5</t>
  </si>
  <si>
    <t>Трубы стальные электросварные прямошовные 89х4,0 II ГОСТ 10704-91/В-Ст3сп ГОСТ 10705-80</t>
  </si>
  <si>
    <t>м/т</t>
  </si>
  <si>
    <t>Трубы стальные электросварные прямошовные 1020х8,0 II ГОСТ 10704-91/В-Ст3сп ГОСТ 10705-80</t>
  </si>
  <si>
    <t>6/1,2</t>
  </si>
  <si>
    <t>Зумпф</t>
  </si>
  <si>
    <t>Труба дренажная ПЭ Д=110 мм</t>
  </si>
  <si>
    <t>Щебень фракции 5-20 мм, марка по прочности 600 и более ГОСТ 8267-93*</t>
  </si>
  <si>
    <t>Кз=1,1</t>
  </si>
  <si>
    <t>Задвижка чугунная параллельная с выдвижным шпинделем фланцевые Ру=16 кгс/см² 30ч6бр, Ду=80 мм ТУ 3721-001-00324292-2011</t>
  </si>
  <si>
    <t>Фланец стальной плоский приварной на Ру 1,6 МПа, 80-16-01-1-B-Cт. 20-III ГОСТ 33259-2015</t>
  </si>
  <si>
    <t>Брус деревянный, обрезной 100х100, L=200 мм</t>
  </si>
  <si>
    <t>Вата минеральная обезжиренная (шлаковата) ГОСТ 4640-2011</t>
  </si>
  <si>
    <t>7</t>
  </si>
  <si>
    <t>Рубероид кровельный РК-420 ГОСТ 10923-93*</t>
  </si>
  <si>
    <t>м2</t>
  </si>
  <si>
    <t>205,6</t>
  </si>
  <si>
    <t>Битумная мастика ГOCT 2889-80</t>
  </si>
  <si>
    <t>кг</t>
  </si>
  <si>
    <t>286,2</t>
  </si>
  <si>
    <t>Сетка проволочная ГOCT 2715-75*</t>
  </si>
  <si>
    <t>172,5</t>
  </si>
  <si>
    <t>Проволока стальная отожженная диам. 2 мм ГОСТ 2771-81*</t>
  </si>
  <si>
    <t>18,3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</si>
  <si>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</si>
  <si>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</si>
  <si>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</si>
  <si>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</si>
  <si>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</si>
  <si>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</si>
  <si>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</si>
  <si>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</si>
  <si>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</si>
  <si>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</si>
  <si>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</si>
  <si>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</si>
  <si>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</si>
  <si>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</si>
  <si>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</si>
  <si>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</si>
  <si>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</si>
  <si>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коэф 1,1</t>
  </si>
  <si>
    <t>Песок строительный</t>
  </si>
  <si>
    <t>170,4/1,43</t>
  </si>
  <si>
    <t>1 насос резервный</t>
  </si>
  <si>
    <t>Ведомость объемов работ</t>
  </si>
  <si>
    <t>объект: «Жилой комплекс, расположенный по адресу: г. Москва, внутригородское муниципальное образование Соколиная Гора, 8-я улица Соколиной Горы, земельный участок 26А»</t>
  </si>
  <si>
    <t>Сбросной трубопровод. Объемы предельные все работы выполняются при необходимости после дополнительного согласования с заказчиком.</t>
  </si>
  <si>
    <t>Объемы указываем в плотном теле</t>
  </si>
  <si>
    <t>Устройство крепления (распорной системы) шпунтового ограждения (шпунт Ларсена Л5-УМ) (этап 2)</t>
  </si>
  <si>
    <t>Монтаж сбросного трубопровода</t>
  </si>
  <si>
    <t>Предварительное шнековое бурение скважин Д=198мм в грунтах II группы</t>
  </si>
  <si>
    <t>шт./м</t>
  </si>
  <si>
    <t>152/675</t>
  </si>
  <si>
    <t>Буровой лафет для экскаватора СБЛ-01 Геомаш</t>
  </si>
  <si>
    <t>Гидравлическое погружение иглофильтров длиной 4,0 м с обсыпкой в каверну размыва и последующее их извлечение (с учетом пьезометров) (Lобщ=60 п.м.)</t>
  </si>
  <si>
    <t>Гидравлическое погружение иглофильтров длиной 5,5 м с обсыпкой в каверну размыва и последующее их извлечение (с учетом пьезометров) (Lобщ=60 п.м.)</t>
  </si>
  <si>
    <t>Гидравлическое погружение иглофильтров длиной 7,0 м с обсыпкой в каверну размыва и последующее их извлечение (с учетом пьезометров)</t>
  </si>
  <si>
    <t>Гидравлическое погружение иглофильтров длиной 8,5 м с обсыпкой в каверну размыва и последующее их извлечение (с учетом пьезометров)</t>
  </si>
  <si>
    <t>Обсыпка иглофильтровых скважин песком мытым 0,5-2,0 мм</t>
  </si>
  <si>
    <t>34,3</t>
  </si>
  <si>
    <t>Песок строительный I класса с модулем крупности 2,8-3,2, коэф неоднородности d60/d10 не более 3 ГОСТ 8736-2014</t>
  </si>
  <si>
    <t>Кз=1,15</t>
  </si>
  <si>
    <t>1.7</t>
  </si>
  <si>
    <t>Монтаж и демонтаж всасывающего коллектора Ду=150 мм</t>
  </si>
  <si>
    <t>264</t>
  </si>
  <si>
    <t>1.8</t>
  </si>
  <si>
    <t>271</t>
  </si>
  <si>
    <t>271/2,27</t>
  </si>
  <si>
    <t>Сбросной трубопровод</t>
  </si>
  <si>
    <t>1.9</t>
  </si>
  <si>
    <t>Монтаж и демонтаж сбросного трубопровода Ду=100 мм</t>
  </si>
  <si>
    <t>32</t>
  </si>
  <si>
    <t>Трубы стальные электросварные прямошовные 108х4,0 II ГОСТ 10704-91/В-Ст3сп ГОСТ 10705-80</t>
  </si>
  <si>
    <t>32/0,33</t>
  </si>
  <si>
    <t>1.10</t>
  </si>
  <si>
    <t>Укладка и демонтаж бруса 100х100, L=200 мм</t>
  </si>
  <si>
    <t>1.11</t>
  </si>
  <si>
    <t>Устройство площадок для размещения установки УВВ-3А-6КМ (расход металла на 1 площадку под установку УВВ-3А-6КМ - 452,85 кг)</t>
  </si>
  <si>
    <t>Лист металлический ромбичпеского рифления 1500х2600х5 ГОСТ 8568-77* (вес указан на 4 площадки)</t>
  </si>
  <si>
    <t>Металлический уголок 100х8 ГОСТ 8509-93 (вес указан на 4 площадки)</t>
  </si>
  <si>
    <r>
      <t xml:space="preserve">Арматура </t>
    </r>
    <r>
      <rPr>
        <sz val="10"/>
        <color theme="1"/>
        <rFont val="Calibri"/>
        <family val="2"/>
        <charset val="204"/>
      </rPr>
      <t>Ø</t>
    </r>
    <r>
      <rPr>
        <i/>
        <sz val="10"/>
        <color theme="1"/>
        <rFont val="Times New Roman"/>
        <family val="1"/>
        <charset val="204"/>
      </rPr>
      <t>20 мм ГОСт 34028-2016 (вес указан на 4 площадки)</t>
    </r>
  </si>
  <si>
    <t>м/кг</t>
  </si>
  <si>
    <t>45,2/111,68</t>
  </si>
  <si>
    <t>Металлический уголок 45х5 ГОСТ 8509-93 (лестница) (вес указан на 4 площадки)</t>
  </si>
  <si>
    <t>Арматура Ø20 мм ГОСт 34028-2016 (лестница) (вес указан на 4 площадки)</t>
  </si>
  <si>
    <t>1.12</t>
  </si>
  <si>
    <t>Монтаж и демонтаж установок УВВ-3А-6КМ</t>
  </si>
  <si>
    <t>Установка вакуумного водопонижения Q=45 м3/ч, H=20 м, N=18,5 кВт. Рабочий насос 6КМ-12 УВВ-3А-6КМ</t>
  </si>
  <si>
    <t>1.13</t>
  </si>
  <si>
    <t>Электромонтажные работы по подключению 4 (Четырех) установок УВВ-3А-6КМ</t>
  </si>
  <si>
    <t>1.14</t>
  </si>
  <si>
    <t>Эксплуатация установок УВВ-3А-6КМ (м-ч определяется ПОС и ППР)</t>
  </si>
  <si>
    <t>1.15</t>
  </si>
  <si>
    <t>Монтаж и демонтаж задвижки чугунной фланцевой 30ч6бр Ду=80 мм</t>
  </si>
  <si>
    <t>Задвижки чугунные параллельные с выдвижным шпинделем фланцевые Ру=16 кгс/см² 30ч6бр Ду=80 мм ТУ 3721-001-00324292-2011</t>
  </si>
  <si>
    <t>1.16</t>
  </si>
  <si>
    <t>Монтаж и демонтаж фланцев 1-80-16 ст.3</t>
  </si>
  <si>
    <t>1.17</t>
  </si>
  <si>
    <t>Изготовление, монтаж и демонтаж металлических кронштейнов для крепления всасывающего кронштейна на ограждении</t>
  </si>
  <si>
    <t>20</t>
  </si>
  <si>
    <t>Кронштейн для крепления всасывающего коллектора на ограждение</t>
  </si>
  <si>
    <t>1.18</t>
  </si>
  <si>
    <t>Изготовление, монтаж и демонтаж кронштейнов для крепления всасывающего кронштейна на откосе</t>
  </si>
  <si>
    <t>68</t>
  </si>
  <si>
    <t>Кронштейн для крепления всасывающего коллектора на откосе</t>
  </si>
  <si>
    <t>1.19</t>
  </si>
  <si>
    <t>Монтаж и демонтаж емкости объемом не менее 1 м3</t>
  </si>
  <si>
    <t>Накопительная емкость для перекачки воды объемом 1 м³</t>
  </si>
  <si>
    <t>1.22</t>
  </si>
  <si>
    <t>Утепление трубопроводов шлаковатой, рубероидом с промазкой мастикой и обкруткой проволокой (выполняется при производстве работ в зимний период)</t>
  </si>
  <si>
    <t>831/22,7/523,35</t>
  </si>
  <si>
    <t>Выполняется в зимний период</t>
  </si>
  <si>
    <t>22,6</t>
  </si>
  <si>
    <t>677,9</t>
  </si>
  <si>
    <t>944,3</t>
  </si>
  <si>
    <t>569,3</t>
  </si>
  <si>
    <r>
      <t xml:space="preserve">Проволока стальная отожженная </t>
    </r>
    <r>
      <rPr>
        <sz val="10"/>
        <color theme="1"/>
        <rFont val="Calibri"/>
        <family val="2"/>
        <charset val="204"/>
      </rPr>
      <t>Ø</t>
    </r>
    <r>
      <rPr>
        <i/>
        <sz val="10"/>
        <color theme="1"/>
        <rFont val="Times New Roman"/>
        <family val="1"/>
        <charset val="204"/>
      </rPr>
      <t>2 мм ГОСТ 2771-81*</t>
    </r>
  </si>
  <si>
    <t>60,1</t>
  </si>
  <si>
    <t>1.23</t>
  </si>
  <si>
    <t>Прокладка и демонтаж кожухов из труб Д=219 мм для сбросного трубопровода Ду=100 мм</t>
  </si>
  <si>
    <t>1/18</t>
  </si>
  <si>
    <t>Трубы стальные электросварные прямошовные 273х5,0 II ГОСТ 10704-91/В-Ст3сп ГОСТ 10705-80</t>
  </si>
  <si>
    <t>18/0,48</t>
  </si>
  <si>
    <t>Кожух</t>
  </si>
  <si>
    <t>1.24</t>
  </si>
  <si>
    <t>Протаскивание труб Ду=100 мм через кожух Д=219 мм</t>
  </si>
  <si>
    <t>1.25</t>
  </si>
  <si>
    <t>Устройство врезки сбросного трубопровода в колодец ливневой канализации</t>
  </si>
  <si>
    <t>1.26</t>
  </si>
  <si>
    <t>Устройство защиты существующего колодца ливневой канализации</t>
  </si>
  <si>
    <t>Устройство узла учета расхода сточных вод</t>
  </si>
  <si>
    <t>Устройство водопонижения иглофильтрами</t>
  </si>
  <si>
    <t>Этап 1</t>
  </si>
  <si>
    <t xml:space="preserve">Разработка котлована </t>
  </si>
  <si>
    <t>Этап 2</t>
  </si>
  <si>
    <t>Защита фундаментной плиты от подтопления</t>
  </si>
  <si>
    <t>Очистка основания бетонной подготовки, торца и "пятки" фундаментной плиты для монтажа гидроизоляции</t>
  </si>
  <si>
    <t xml:space="preserve">Укладка геотекстиля 500 г/м2 на горизонтальную поверхность ФП </t>
  </si>
  <si>
    <t>Геотекстиль иглопробивной термообработанный 500 г/м² СТО 50099417-001-2010 "ТЕХНОНИКОЛЬ" рул</t>
  </si>
  <si>
    <t>м2/шт</t>
  </si>
  <si>
    <t>коэф расхода 1,1, S рул.=2,15х45 м</t>
  </si>
  <si>
    <t>Укладка геотекстиля 500 г/м2 на горизонт поверхность по "пятке" ФП</t>
  </si>
  <si>
    <t>Геотекстиль иглопробивной термообработанный 500 г/м² СТО 50099417-001-2010 "ТЕХНОНИКОЛЬ" - рул</t>
  </si>
  <si>
    <t xml:space="preserve">Укладка геотекстиля 500 г/м2 на вертикальную поверхность (торцы) ФП и  в зонах дефшвов </t>
  </si>
  <si>
    <t xml:space="preserve">Геотекстиль иглопробивной термообработанный 500 г/м² СТО 50099417-001-2010 "ТЕХНОНИКОЛЬ" </t>
  </si>
  <si>
    <t>коэф расхода 1,1</t>
  </si>
  <si>
    <t>Монтаж мембраны ExtraBase Pro UW-S 2,5 мм или аналог на горизонтальную поверхность  ФП</t>
  </si>
  <si>
    <t>либо аналог:
1. Технониколь Logic Base
2. SICA Sikaplan 2,0</t>
  </si>
  <si>
    <t xml:space="preserve"> Мембрана ExtraBase Pro UW-S 2,5 мм,  рул.</t>
  </si>
  <si>
    <t>коэф расхода 1,1 S рул.=2,15х30 м</t>
  </si>
  <si>
    <t>Монтаж мембраны ExtraBase Pro UW-S 2,5 мм или аналог на горизонтальную поверхность   по "пятке" ФП</t>
  </si>
  <si>
    <t xml:space="preserve">Монтаж мембраны ExtraBase Pro UW-S 2,5 мм или аналог на вертикальную поверхность (торцы) ФП и  в зонах дефшвов </t>
  </si>
  <si>
    <t>Монтаж профилированной дренажной мембраны "Planter Extra Geo" или аналог - 8 мм на горизонтальную поверхность</t>
  </si>
  <si>
    <t>коэф расхода 1,1,  S рул.=15*2 м</t>
  </si>
  <si>
    <t>Засыпка дренажной траншеи щебнем фракции 5-20 мм</t>
  </si>
  <si>
    <t>Щебень из изверженных пород фракции 5-20 мм, 1 группы, марка по прочности 1000 и более, F150, марка по истираемости 1, коэф. размягчаемости не ниже 0,75 ГОСТ 8267-93*</t>
  </si>
  <si>
    <t>Прокладка дренажных труб</t>
  </si>
  <si>
    <t xml:space="preserve">Труба двухслойная дренажная "POLYCORR" из ПП SN16 Д=160 мм с полной перфорацией, тип 4, с раструбом и уплотнительным кольцом ТУ 2248-001-11372733-2012 ООО "Poly Group"  </t>
  </si>
  <si>
    <t>L тр=6 м</t>
  </si>
  <si>
    <t xml:space="preserve">Монтаж мембраны  Planter Extra Geo  или аналог на горизонтальную поверхность  ФП  </t>
  </si>
  <si>
    <t>Монтаж мембраны Planter Extra Geo  или аналог на горизонтальную поверхность по пятке ФП</t>
  </si>
  <si>
    <t>Монтаж мембраны Planter Extra Geo  или аналог на вертикальную поверхность ФП и в зонах деф швов</t>
  </si>
  <si>
    <t>Проклейка швов профилированной дренажной мембраны лентой типа PLANTERBAND</t>
  </si>
  <si>
    <t>Лента типа PLANTERBAND Технониколь самоклеющаяся</t>
  </si>
  <si>
    <t>м/рул</t>
  </si>
  <si>
    <t>4658/466</t>
  </si>
  <si>
    <t>Монтаж защитного слоя геомембраны "Planter Standart"</t>
  </si>
  <si>
    <t>Геомембраны "Planter Standart"</t>
  </si>
  <si>
    <t>Приварка ПВХ гидрошпонки типа "ТехноНИКОЛЬ " EС-220-3 к гидроизоляционной мембране в дренажных колодцах и насосной станции</t>
  </si>
  <si>
    <t>ПВХ-гидрошпонка "ТЕХНОНИКОЛЬ ЕС-220-3" ТУ 5775-003-96067115-2011 "ТЕХНОНИКОЛЬ"</t>
  </si>
  <si>
    <t>м/шт</t>
  </si>
  <si>
    <t>240/12</t>
  </si>
  <si>
    <t>L бухты=20 м; Кз=1,1</t>
  </si>
  <si>
    <t>Устройство защитной стяжки из цементно-песчаного раствора М200, t=50 мм, V-229 м3</t>
  </si>
  <si>
    <t>м2/м3</t>
  </si>
  <si>
    <t>5970/299</t>
  </si>
  <si>
    <t>ЦПС М200</t>
  </si>
  <si>
    <t>коэф расхода 1,02</t>
  </si>
  <si>
    <t>Монтаж вставки из пенополистирола в торец фундаментной плиты (2,3 м3)</t>
  </si>
  <si>
    <t>Пенополистирол</t>
  </si>
  <si>
    <t>Устройство уклонообразующей стяжки из цементно-песчаного раствора М200 по "пятке" фундаментной плиты tmin=30 мм</t>
  </si>
  <si>
    <t>1.20</t>
  </si>
  <si>
    <t>Устройство галтелей из цементно-песчаного раствора М 200 50x50 мм</t>
  </si>
  <si>
    <t>1.21</t>
  </si>
  <si>
    <t>Монтаж шнура "Вилатерм" диаметром 50 мм в деформационном шве</t>
  </si>
  <si>
    <t>Уплотнительный жгут Вилатерм диаметром 50 мм ТУ 2291-009-03989419-2006 Изоком</t>
  </si>
  <si>
    <t>Зачеканка деформационных швов герметиком ТФ-1-ВА</t>
  </si>
  <si>
    <t>L=268 м</t>
  </si>
  <si>
    <t>Герметик ТФ-1-ВА</t>
  </si>
  <si>
    <t>Монтаж шпонки "Аквастоп " ДЗ-140/50-4/40</t>
  </si>
  <si>
    <t>м/ шт</t>
  </si>
  <si>
    <t>268/15</t>
  </si>
  <si>
    <t>Гидроизоляционная шпонка "Аквастоп" ДЗ-140/50-4/40 ООО "Аквабарьер"</t>
  </si>
  <si>
    <t>Монтаж полосы усиления из мембраны "ExtraBase Pro UW-S" в деформационных швах</t>
  </si>
  <si>
    <t>мембрана</t>
  </si>
  <si>
    <t>Расчистка деформационного шва внутри помещения от заполнителя на глубину 300 мм</t>
  </si>
  <si>
    <t>Монтаж доски антисептированной 50x50 мм</t>
  </si>
  <si>
    <t>доска</t>
  </si>
  <si>
    <t>антисептик (площ -53,6 м2)</t>
  </si>
  <si>
    <t>Устройство дренажных колодцев в фундаментной плите размером в плане 1,0х1,0 м</t>
  </si>
  <si>
    <t>Лестницы для дренажных колодцев из металлопроката -14,05 м</t>
  </si>
  <si>
    <t>шт</t>
  </si>
  <si>
    <t>см. лист 9</t>
  </si>
  <si>
    <t>Крышка дренажного колодца заполняемоая 200х1200х90 усиленная 5 т</t>
  </si>
  <si>
    <t>см. лист 8</t>
  </si>
  <si>
    <t>Устройство насосной станции в фундаментной плите размером в плане 2,0х2,0 м</t>
  </si>
  <si>
    <t>Лестница для насосной станции из металлопроката -2,65 м</t>
  </si>
  <si>
    <t>см. лист 13</t>
  </si>
  <si>
    <t>Крышки насосных станций -0,56 тн</t>
  </si>
  <si>
    <t>Люки крышек насосных станций -0,22 тн</t>
  </si>
  <si>
    <t>Защита лестниц и крышек от коррозии</t>
  </si>
  <si>
    <t xml:space="preserve">Грунтовка ГФ-021 в один слой </t>
  </si>
  <si>
    <t>ГОСТ 25129-82*</t>
  </si>
  <si>
    <t xml:space="preserve">Эмаль ПФ-218.VIIУХЛ4 в 2 слоя (водостойкая) </t>
  </si>
  <si>
    <t>ГОСТ 21227-93</t>
  </si>
  <si>
    <t>Устройство футляров из хризотилцементных труб класса БНТ Ду=300 мм</t>
  </si>
  <si>
    <t>Трубы хризотилцементные БНТ-6 300-3950 ГОСТ 31416-2009</t>
  </si>
  <si>
    <t>L тр=3,95 м</t>
  </si>
  <si>
    <t>Цементно-песчаный раствор М200 ГОСТ 28013-98*</t>
  </si>
  <si>
    <t>Портландцемент М500 ГОСТ 10178-85</t>
  </si>
  <si>
    <t>т</t>
  </si>
  <si>
    <t>футляр</t>
  </si>
  <si>
    <t>Оборудование насосной станции НС</t>
  </si>
  <si>
    <t>Монтаж насосов "Wilo" Rexa PRO V05DA-126/EAD1X2-T0015-540-0 в комплекте с длиной кабеля 10 м</t>
  </si>
  <si>
    <t>Погружной насос Rexa PRO V05DA-126/EAD1X2-T0015-540-O (Q=1,5 л/с, Н=11,5 м, N=1,5/2,1 кВт) арт. 6064724 "Wilo"</t>
  </si>
  <si>
    <t>Монтаж устройства погружного монтажа - УПМ DN50/2RK с кронштейнами для крепления направляющих</t>
  </si>
  <si>
    <t>Устройство погружного монтажа - УПМ DN50/2RK с кронштейнами для крепления направляющих арт. 6070146 "Wilo"</t>
  </si>
  <si>
    <t>Монтаж направляющих штанг из нержавеющих труб 26,9x2 АISI 304</t>
  </si>
  <si>
    <t>Направляющие штанги из нержавеющих труб 26,9х2 AISI 304</t>
  </si>
  <si>
    <t>Монтаж клапана обратного межфланцевого Ду=50 мм Ру=1,6 Мпа</t>
  </si>
  <si>
    <t>Клапан обратный поворотный межфланцевый Ру=16 кгс/см² 19ч21бр, Ду=50 мм ТУ 26-07-1490-89</t>
  </si>
  <si>
    <t>Монтаж крана шарового запорного КШТВГ фланцевого Ру =1,6 МПа Пу=50 мм</t>
  </si>
  <si>
    <t>Кран шаровой запорный КШТВГ Ру=1,6 МПа Ду=50 мм "Автоматика-Инвест"</t>
  </si>
  <si>
    <t>2.6</t>
  </si>
  <si>
    <t>Приварка фланцев стальных 50-16-01-В-Ст. 12Х18Н10Т ГОСТ 33259-2015</t>
  </si>
  <si>
    <t>Фланец 50-16-01-В-Ст. 12Х18Н10Т ГОСТ 33259-2015</t>
  </si>
  <si>
    <t>2.7</t>
  </si>
  <si>
    <t>Приварка отводов 45-1-60,Зх4,0 12Х18Н10 Т с геом. по ГОСТ 17375-2001*</t>
  </si>
  <si>
    <t>Отвод 90-32х3,0 12Х18Н10Т ГОСТ 17375-2001*</t>
  </si>
  <si>
    <t>для кабелей</t>
  </si>
  <si>
    <t>2.8</t>
  </si>
  <si>
    <t>Приварка отводов 90-1-60,Зх4,0 12Х18Н10Т с геом. по ГОСТ 17375-2001*</t>
  </si>
  <si>
    <t>Отвод 45-1-60,3х4,0 12Х18Н10Т ГОСТ 17375-2001*</t>
  </si>
  <si>
    <t>Отвод 90-1-60,3х4,0 12Х18Н10Т ГОСТ 17375-2001*</t>
  </si>
  <si>
    <t>2.9</t>
  </si>
  <si>
    <t>Приварка тройников 57х4,0 12Х18Н10Т с геом. по ГОСТ 17376-2001*</t>
  </si>
  <si>
    <t>Тройник 57х4,0 12Х18Н10Т ГОСТ 17376-2001*</t>
  </si>
  <si>
    <t>2.10</t>
  </si>
  <si>
    <t>Монтаж хомута металлического WATTSON 59-65 мм (2") с резиновым уплотнением, шпилькой и дюбелем</t>
  </si>
  <si>
    <t>Хомут металлический WATTSON 59-65 мм (2") с резиновым уплотнением, шпилькой и дюбелем</t>
  </si>
  <si>
    <t>2.11</t>
  </si>
  <si>
    <t>Монтаж подъемной цепи с карабином из нержавеющей стали до 400 кг (L=3,0 м)</t>
  </si>
  <si>
    <t>Чалочная цепь из нержавеющей стали для подъема и перемещения насосов оборудована двумя ккарабинами, с промежуточными звеньями на каждом метре, до 400 кг (L-3,0 м)</t>
  </si>
  <si>
    <t>2.12</t>
  </si>
  <si>
    <t>Монтаж электрооборудования насосной станции</t>
  </si>
  <si>
    <t>см. лист 12</t>
  </si>
  <si>
    <t>Навесной шкаф ДКС ST,65, RSS IPT0669 (ШР), разм 600*600*250 мм</t>
  </si>
  <si>
    <t>Трехполюсный автоматический выключатель MD63-3C25-6 на ток 25А</t>
  </si>
  <si>
    <t>комплектация шкафа ШР</t>
  </si>
  <si>
    <t>Трехполюсный автоматический выключатель MD63-3C16-6 на ток 16А</t>
  </si>
  <si>
    <t>Двухполюсный диференциальный автоматический выключатель MD63-2C8-6 на ток 8А</t>
  </si>
  <si>
    <t>Двухполюсный диференциальный автоматический выключатель MD63-22C16-А на ток 16А</t>
  </si>
  <si>
    <t>Шкаф управления работой 2-х дренажных насосов WILO SK-712/d-2-5,5 IP54</t>
  </si>
  <si>
    <t>Трансформатор понижающий ОСО-0,25 УХЛ3, напряжение220/12 В</t>
  </si>
  <si>
    <t>DIN- рейкадля установки электроаппаратов</t>
  </si>
  <si>
    <t>Шина  N "ноль" на двух изоляторах 6*9 8 отверстий</t>
  </si>
  <si>
    <t>Шина  РЕ "земля" на двух изоляторах 6*9  14 отверстий</t>
  </si>
  <si>
    <t>Кабельный ввод в ШР кабеля диаметром 22-28 мм</t>
  </si>
  <si>
    <t>Кабельный ввод в ШР кабеля диаметром 37-44 мм</t>
  </si>
  <si>
    <t>Розетка без заземляющего контакта РА 16-016</t>
  </si>
  <si>
    <t>Розетка с заземляющим контактом РАр 10-3-ОП</t>
  </si>
  <si>
    <t>Отдельный поплавковый выключатель в комплекте с кабелем РVC-3G0,75 длиной 10 м</t>
  </si>
  <si>
    <t>Кабель с медной жилой 0,66 кВ с изоляцией и оболочкой нераспрастраняющей горение с низким дымо и газовыделением ВВГнг(А)-LS-5х2,5 мм2</t>
  </si>
  <si>
    <t>Кабель с медной жилой 0,66 кВ с изоляцией и оболочкой нераспрастраняющей горение с низким дымо и газовыделением ВВГнг(А)-LS-5х1,5 мм2</t>
  </si>
  <si>
    <t>Кабель силовой 1кВ с медными жилами для подключения насосов сечением 7G1,5 мм2</t>
  </si>
  <si>
    <t>комплектно с насосами</t>
  </si>
  <si>
    <t>Провод с медной жилой с изоляцией из поливинилхлоридного пластика ПуГВнг(А)-LS-1х6 мм2</t>
  </si>
  <si>
    <t>Светильник переносной с выключателем и решеткой ЛСУ-2УХЛ2, напряжение 12/24В, цоколь Е27</t>
  </si>
  <si>
    <t>Лампа светодиодная Navigator, напряжение 12В, цоколь Е27</t>
  </si>
  <si>
    <t>Коробка уравнивания потенциалов</t>
  </si>
  <si>
    <t>Металлополимерный рукав МЕТАЛАНГ Ду-22 мм (ТУ 4833-024-01877509-2002)</t>
  </si>
  <si>
    <t>Скоба для крепления кабеля К142У2</t>
  </si>
  <si>
    <t>Скоба для крепления кабеля К144У2</t>
  </si>
  <si>
    <t>Z-профиль электромонтажный К239У2, L- 2000 м</t>
  </si>
  <si>
    <t>Отвод 90-50*3,0 ГОСТ 17375-2001*</t>
  </si>
  <si>
    <t>Труба водогазопроводная Ду-50 мм ГОСТ 3262-75*</t>
  </si>
  <si>
    <t>Плата RS-485 для осуществления удаленной диспетчерезации через интерфейс RS485 по протоколу Modbis RTU</t>
  </si>
  <si>
    <t>комплектно с WILLO SK-712</t>
  </si>
  <si>
    <t>2.13</t>
  </si>
  <si>
    <t>Монтаж труб стальных водогазопроводных 80x3,5 ГОСТ 3262-75* в теле фундаментной плиты</t>
  </si>
  <si>
    <t>Трубы стальные водогазопроводные 80x4,0 ГОСТ 3262-75*</t>
  </si>
  <si>
    <t>отвод воды от д.шва</t>
  </si>
  <si>
    <t>2.14</t>
  </si>
  <si>
    <t>Монтаж трубы 57x3,5 12Х18Н10Т ГОСТ 9941-2022</t>
  </si>
  <si>
    <t>Труба 57х3,5 12Х18Н10Т ГОСТ 9941-2022</t>
  </si>
  <si>
    <t>2.15</t>
  </si>
  <si>
    <t>Устройство футляра из стальной трубы 273x5,0 ГОСТ 10704-91, L=2м</t>
  </si>
  <si>
    <t>Труба стальная электросварная прямошовная 273х5,0 ГОСТ 10704-91</t>
  </si>
  <si>
    <t>2.16</t>
  </si>
  <si>
    <t>Обмотка дренажных труб полиэтиленом при вводе в дренажные колодцы и насосные станции</t>
  </si>
  <si>
    <t>Полиэтиленовая пленка 200 мкм ГОСТ 10354-82*</t>
  </si>
  <si>
    <t>Корпус А (подземные конструкции)</t>
  </si>
  <si>
    <t>4.1</t>
  </si>
  <si>
    <t>Уплотнение грунтового основания</t>
  </si>
  <si>
    <t>4.2</t>
  </si>
  <si>
    <t>Устройство бетонной подготовки из бетона В7,5 выс. 100 мм</t>
  </si>
  <si>
    <t>Бетон В7,5</t>
  </si>
  <si>
    <t>4.3</t>
  </si>
  <si>
    <t>Защитная стяжка толщ. 50 мм</t>
  </si>
  <si>
    <t>Цементно-песчаный раствор М200</t>
  </si>
  <si>
    <t>коэф. расх. 1,02</t>
  </si>
  <si>
    <t>4.4</t>
  </si>
  <si>
    <t xml:space="preserve">Устройство деформационного шва (в т.ч. ленточный герметик Герлен Т-100/3, бентонитовый мат осн. слой шир. 700 мм, бентонитовый мат доп. слой шир. 350 мм) </t>
  </si>
  <si>
    <t>компл</t>
  </si>
  <si>
    <t>Гидроизоляционная шпонка Аквастоп тип ДЗ-140/50-4/40 ПВХ-П</t>
  </si>
  <si>
    <t>пм</t>
  </si>
  <si>
    <t>Гидроизоляционный профиль "Рекс-Свелло"</t>
  </si>
  <si>
    <t>Герметик Т Ф-1-ВА</t>
  </si>
  <si>
    <t>Вилатерм Шнур 60/38</t>
  </si>
  <si>
    <t>ТУ 2291-009-03989419-2006</t>
  </si>
  <si>
    <t>Пеноплекс 45 (толщ 50 мм)</t>
  </si>
  <si>
    <t>ТУ 5767-006-56925804-2007</t>
  </si>
  <si>
    <t>4.5</t>
  </si>
  <si>
    <t>Армирование ФП  (в. т.ч.  изготовление каркасов) корпус А  (КЖ01-1-А изм)</t>
  </si>
  <si>
    <t>Арматура Д6 мм А240, ГОСТ 34028-2016</t>
  </si>
  <si>
    <t>коэф 1,05</t>
  </si>
  <si>
    <t>Арматура Д10 мм А500С, ГОСТ 34028-2016</t>
  </si>
  <si>
    <t>Арматура Д12 мм А500С, ГОСТ  34028-2016</t>
  </si>
  <si>
    <t>Арматура Д14 мм А500С, ГОСТ  34028-2016</t>
  </si>
  <si>
    <t>Арматура Д16 мм А500С, ГОСТ  34028-2016</t>
  </si>
  <si>
    <t>Арматура Д18 мм А500С, ГОСТ  34028-2016</t>
  </si>
  <si>
    <t>Арматура Д20 мм А500С , ГОСТ  34028-2016</t>
  </si>
  <si>
    <t>Арматура Д25 мм А500С, ГОСТ  34028-2016</t>
  </si>
  <si>
    <t>Арматура Д28 мм А500С, ГОСТ  34028-2016</t>
  </si>
  <si>
    <t>Арматура Д32 мм А500С, ГОСТ  34028-2016</t>
  </si>
  <si>
    <t>Полоса  4*25 мм</t>
  </si>
  <si>
    <t>Проволока Д1,2 мм ГОСТ 3282-84</t>
  </si>
  <si>
    <t>4.6</t>
  </si>
  <si>
    <t>Бетонирование ФП  на отм. -5,850 м (коэф армир. 0,142) корпус А</t>
  </si>
  <si>
    <t>Бетон В35, F200, W10</t>
  </si>
  <si>
    <t>коэф 1,02</t>
  </si>
  <si>
    <t>Корпус Б. (подземные конструкции)</t>
  </si>
  <si>
    <t>5.1</t>
  </si>
  <si>
    <t>5.2</t>
  </si>
  <si>
    <t>Устройство бетонной подготовки выс 100 мм</t>
  </si>
  <si>
    <t>коэф расх 1,02</t>
  </si>
  <si>
    <t>5.3</t>
  </si>
  <si>
    <t>5.4</t>
  </si>
  <si>
    <t>Устройство деформационного шва</t>
  </si>
  <si>
    <t>5.5</t>
  </si>
  <si>
    <t>Армирование ФП корпуса Б (в. т.ч.  Изготовление каркасов)</t>
  </si>
  <si>
    <t>Арматура Д12 мм А500С, ГОСТ 34028-2016</t>
  </si>
  <si>
    <t>Арматура Д14 мм А500С, ГОСТ 34028-2016</t>
  </si>
  <si>
    <t>Арматура Д20 мм А500С, ГОСТ 34028-2016</t>
  </si>
  <si>
    <t>Арматура Д25 мм А500С, ГОСТ 34028-2016</t>
  </si>
  <si>
    <t>Арматура Д28 мм А500С, ГОСТ 34028-2016</t>
  </si>
  <si>
    <t>Арматура Д32 мм А500С, ГОСТ 34028-2016</t>
  </si>
  <si>
    <t>Бетонирование ФП  корпус Б на отм. -5,850 м (коэф армир. 0,164)</t>
  </si>
  <si>
    <t>Бетон В35 F200 W10</t>
  </si>
  <si>
    <t>Автостоянка. (подземные конструкции) часть 1</t>
  </si>
  <si>
    <t>Уплотнение грунтового основания (КЖ01-2)</t>
  </si>
  <si>
    <t>Устройство бетонной подготовки (часть 1)</t>
  </si>
  <si>
    <t>коэф. 1,02</t>
  </si>
  <si>
    <t>Установка профиля</t>
  </si>
  <si>
    <t>Армирование ФП (часть 1)     (КЖ01-2)</t>
  </si>
  <si>
    <t>Арматура Д16 мм А500С, ГОСТ 34028-2016</t>
  </si>
  <si>
    <t>Полоса 4*25</t>
  </si>
  <si>
    <t>Бетонирование ФП (часть 1) (коэф армир-0,12)</t>
  </si>
  <si>
    <t>Автостоянка. (подземные конструкции) часть 2</t>
  </si>
  <si>
    <t>Уплотнение грунтового основания (часть 2) (КЖ01-2)</t>
  </si>
  <si>
    <t>Устройство бетонной подготовки (часть 2)</t>
  </si>
  <si>
    <t>Армирование ФП (часть 2)     ( КЖ01-2)</t>
  </si>
  <si>
    <t>Бетонирование ФП (часть 2) (коэф армир-0,11)</t>
  </si>
  <si>
    <t>4.7</t>
  </si>
  <si>
    <t>Армирование колонн подвала (в т.ч. изготовление каркасов) корпус А</t>
  </si>
  <si>
    <t>Арматура Д8 мм А500С, ГОСТ 34028-2016</t>
  </si>
  <si>
    <t>4.8</t>
  </si>
  <si>
    <t>Бетонирование колонн подвала корпус А (коэф армир. 0,325)</t>
  </si>
  <si>
    <t>4.9</t>
  </si>
  <si>
    <t>Армирование  стен подвала (в т.ч. изготовление каркасов) корпус А</t>
  </si>
  <si>
    <t>4.10</t>
  </si>
  <si>
    <t>Бетонирование стен подвала корпус А (коэф армир. 0,165)</t>
  </si>
  <si>
    <t>4.11</t>
  </si>
  <si>
    <t>Армирование плиты перекрытия на отм. 0,000 (корпус А)</t>
  </si>
  <si>
    <t>Арматура Д8 мм А240, ГОСТ 34028-2016</t>
  </si>
  <si>
    <t>4.12</t>
  </si>
  <si>
    <t>Бетонирование плиты перекрытия  на отм. 0,000 (корпус А) (коэф армир. 0,169)</t>
  </si>
  <si>
    <t>Жгут "Пенебар"</t>
  </si>
  <si>
    <t>Армирование колонн подвала (в т.ч. изготовление каркасов) корпус Б</t>
  </si>
  <si>
    <t>Бетонирование колонн подвала (коэф армир. 0,3) корпус Б</t>
  </si>
  <si>
    <t>Армирование стен подвала (в т.ч. изготовление каркасов) корпус Б</t>
  </si>
  <si>
    <t>Бетонирование стен подвала (коэф армир. 0,11) корпус Б</t>
  </si>
  <si>
    <t>Армирование плиты перекрытия на отм. 0,000 (корпус Б)</t>
  </si>
  <si>
    <t>Бетонирование плиты перекрытия, балки покрытия и балки перепада высот  на отм. 0,000 (корпус Б) (коэф армир. 0,120)</t>
  </si>
  <si>
    <t>плита монолит. - 194,0 м3
балка покрытия - 1,0 м3
плита монолит. - 20,0 м3</t>
  </si>
  <si>
    <t>Бетон В30 F200 W10 плита монолитная</t>
  </si>
  <si>
    <t>Бетон В30 F200 W10 балка покрытия</t>
  </si>
  <si>
    <t>Автостоянка. (подземные конструкции)   (КЖ02-2 изм. 1)</t>
  </si>
  <si>
    <t>Армирование колонн  (часть 1 и часть 2)</t>
  </si>
  <si>
    <t>Бетонирование колонн (коэф армир-0,37)</t>
  </si>
  <si>
    <t xml:space="preserve">Армирование стен (часть 1 и часть 2) </t>
  </si>
  <si>
    <t>Бетонирование стен (коэф армир--0,14)</t>
  </si>
  <si>
    <t>Бетон В35, F150, W6</t>
  </si>
  <si>
    <t>Автостоянка. Плиты покрытия ( КЖ03-2 изм. 3)</t>
  </si>
  <si>
    <t>Рампа корпус А</t>
  </si>
  <si>
    <t>Засыпка пространства под рампой керамзитовым гравием плотностью до М600</t>
  </si>
  <si>
    <t>Керамзит (Y=800 кг/м3)</t>
  </si>
  <si>
    <t>коэф расх 1,1</t>
  </si>
  <si>
    <t>Укладка PLANTER Standart (или аналог)</t>
  </si>
  <si>
    <t>PLANTER Standart</t>
  </si>
  <si>
    <t>Полиуретановый герметик "Технониколь 2К"</t>
  </si>
  <si>
    <t>Армирование рампы и балок (Б1, Б2, Б3, Б4)</t>
  </si>
  <si>
    <t>коэф расх 1,05</t>
  </si>
  <si>
    <t>Арматура Д10 мм А240, ГОСТ 34028-2016</t>
  </si>
  <si>
    <t>Бетонирование рампы  (коэф армирования -0,146)</t>
  </si>
  <si>
    <t>Бетон В35 F200 W8</t>
  </si>
  <si>
    <t>коэф расх. 1,02</t>
  </si>
  <si>
    <t>Устройство деформационного шва автостоянки 1 в/о ББ/П-ЖЖ/П; 1/П-2/Б</t>
  </si>
  <si>
    <t>Герметик "Технониколь 2К"</t>
  </si>
  <si>
    <t>ТУ 2513-081-72746455-2014</t>
  </si>
  <si>
    <t>Герлен -Т 100/3</t>
  </si>
  <si>
    <t>ТУ 20.30.22-001-97235046-2018</t>
  </si>
  <si>
    <t>Техноэласт ТЕРРА</t>
  </si>
  <si>
    <t>Гидрошпонка Аквастоп Д3-140/50-4/35</t>
  </si>
  <si>
    <t>ТУ 5772-001-58093526-11</t>
  </si>
  <si>
    <t>Армирование плиты покрытия (Пм-1П), балок покрытия, балок перепада высот на стоянке 1 ,  в/о ББ/П-ЖЖ/П; 1/П-2/Б</t>
  </si>
  <si>
    <t>коэф расх. 1,05</t>
  </si>
  <si>
    <t>Бетонирование плиты покрытия (Пм-1П), балок покрытия, балок перепада высот на стоянке 1 (коэф. Армирования -0,28),  в/о ББ/П-ЖЖ/П; 1/П-2/Б</t>
  </si>
  <si>
    <t>Плита монолитная - 290 м3, балки покрытия -30 м3, балки перепада высот - 27,0 м3</t>
  </si>
  <si>
    <t>Устройство деформационного шва стоянки 2, в/о А/П-Ю/П; 4/П-39/П</t>
  </si>
  <si>
    <t>Армирование плиты покрытия (Пм-1П), балок покрытия, балок перепада высот на стоянке 2,  в/о А/П-Ю/П; 4/П-39/П</t>
  </si>
  <si>
    <t>Бетонирование плиты покрытия (Пм-1П), балок покрытия, балок перепада высот на стоянке 2 (коэф. армирования -0,22),  в/о А/П-Ю/П; 4/П-39/П</t>
  </si>
  <si>
    <t>Плита монолитная - 745 м3, балки покрытия -73 м3, балки перепада высот - 57,0 м3</t>
  </si>
  <si>
    <t>Защита стен подземной части сооружения от подтопления</t>
  </si>
  <si>
    <t>Очистка поверхности стен для монтажа гидроизоляции</t>
  </si>
  <si>
    <t>2088</t>
  </si>
  <si>
    <t>Монтаж профилированной дренажной мембраны "Planter Extra Geo " по стенам здания</t>
  </si>
  <si>
    <t>1845</t>
  </si>
  <si>
    <t>Дренажная мембрана "Planter Extra Geo" "ТЕХНОНИКОЛЬ"</t>
  </si>
  <si>
    <t>рул.</t>
  </si>
  <si>
    <t>71</t>
  </si>
  <si>
    <t>S рул.=15х2 м</t>
  </si>
  <si>
    <t xml:space="preserve">Монтаж ПВХ мембраны типа "ExtraBase Pro UW-S" - 2,5 мм (либо аналог) </t>
  </si>
  <si>
    <t>2087</t>
  </si>
  <si>
    <t xml:space="preserve">Мембрана ПВХ "ExtraBase Pro UW-S " 2,5 мм (либо аналог) </t>
  </si>
  <si>
    <t>Монтаж геотекстиля 500 г/м2</t>
  </si>
  <si>
    <t>Геотекстиль иглопробивной термообработанный 500 г/м² СТО 50099417-001-2010 "ТЕХНОНИКОЛЬ"</t>
  </si>
  <si>
    <t>24</t>
  </si>
  <si>
    <t>S рул.=2,15х45 м</t>
  </si>
  <si>
    <t>Проклейка горизонтальных и вертикальных швов профилированной дренажной мемдраны лентой PLANTERBAND DUO</t>
  </si>
  <si>
    <t>1207</t>
  </si>
  <si>
    <t>Лента герметизирующая Planterband Duo самоклеящаяся двухсторонняя "ТЕХНОНИКОЛЬ"</t>
  </si>
  <si>
    <t>L рул.=10 м</t>
  </si>
  <si>
    <t>2103</t>
  </si>
  <si>
    <t>Геомембрана Planter (плантер) standart "ТЕХНОНИКОЛЬ" 61 рул</t>
  </si>
  <si>
    <t>S рул.=20х2 м, коэф. Расх-1,1</t>
  </si>
  <si>
    <t>Монтаж переходной ленты типа LOGICROOF Tape PVC-B</t>
  </si>
  <si>
    <t>226</t>
  </si>
  <si>
    <t>Переходная лента типа LOGICROOF Tape PVC-B "Технониколь"</t>
  </si>
  <si>
    <t>82</t>
  </si>
  <si>
    <t>90,2</t>
  </si>
  <si>
    <t>164</t>
  </si>
  <si>
    <t>Монтаж шпонки "Аквастоп" ДЗ-140/50-4/40</t>
  </si>
  <si>
    <t>деф. шов</t>
  </si>
  <si>
    <t>Монтаж полосы усиления из мембраны "ExtraBase Pro UW-S" шириной 350 мм</t>
  </si>
  <si>
    <t>Планка прижимная PLANTER PROFILE "Технониколь"</t>
  </si>
  <si>
    <t>80</t>
  </si>
  <si>
    <t>L бухты=10 м; Кз=1,1</t>
  </si>
  <si>
    <t>Монтаж гидроизоляционного профиля типа "Рекс-Свелло"</t>
  </si>
  <si>
    <t>306</t>
  </si>
  <si>
    <t>Резиновый набухающий профиль "Рекс-Свелло" ТУ 5775-002-80765351-2008</t>
  </si>
  <si>
    <t>Крепление верхнего завершающего ряда гидроизоляционной мембраны ПВХ лентой "ТехноНиколь" на эпоксидном клею</t>
  </si>
  <si>
    <t>Эпоксидный клей "Технониколь"</t>
  </si>
  <si>
    <t>1 кг на 1 м²</t>
  </si>
  <si>
    <t>ПВХ лента "Технониколь"</t>
  </si>
  <si>
    <t>L рул.=30 м</t>
  </si>
  <si>
    <t>Крепление профилированной дренажной мембраны к стене здания крепежом Planter Fixing (шаг 0,5 м)</t>
  </si>
  <si>
    <t xml:space="preserve">Крепеж Технониколь PLANTER Fixing </t>
  </si>
  <si>
    <t>160</t>
  </si>
  <si>
    <t>Фиксация материала PLANTER Standart с помощью прижимной планки Planter Profile и дюбелей в зоне высотных частей (шаг 0,2 м)</t>
  </si>
  <si>
    <t>Дюбель-гвоздь металлический "Технониколь"</t>
  </si>
  <si>
    <t>400</t>
  </si>
  <si>
    <t>шаг 0,2 м</t>
  </si>
  <si>
    <t>Гидроизоляция трубных проходов (20 шт)</t>
  </si>
  <si>
    <t>см. лист 15</t>
  </si>
  <si>
    <t>Основание:</t>
  </si>
  <si>
    <t>Рабочая документация шифр 15-ОМ/2023-ДР.ГИ "Защита подземной части от подтопления (ФП и стены)" (ВПР от 24.10.2024)</t>
  </si>
  <si>
    <t>Рабочая документация шифр 15-ОМ/2023-КЖ.ШО* "Конструктивные решения. Шпунтовое ограждение котлована",  лист 7 (ВПР от 09.10.2024)</t>
  </si>
  <si>
    <t>Рабочая документация шифр  15-ОМ/2023-КЖ01-1-А изм 1-2"Фундаментная плита корп А на отм.  -5,850" (ВПР от 11.11.2024)</t>
  </si>
  <si>
    <t>Рабочая документация шифр  15-ОМ/2023-КЖ02-1-А изм 3 "Вертикальные несущие конструкции корп А ниже отм. 0.000" (без ВПР)</t>
  </si>
  <si>
    <t>Рабочая документация шифр  15-ОМ/2023-КЖ03-1-А изм 2 "Плиты перекрытия корп А  на отм. 0.000" (ВПР от 11.11.2024)</t>
  </si>
  <si>
    <t>Рабочая документация шифр  15-ОМ/2023-КЖ01-1-Б изм 1"Фундаментная плита корп Б на отм.  -5,850" (ВПР от 11.11.2024)</t>
  </si>
  <si>
    <t>Рабочая документация шифр  15-ОМ/2023-КЖ02-1-Б  изм 1-2 "Вертикальные несущие конструкции корп Б ниже отм. 0.000" (без ВПР)</t>
  </si>
  <si>
    <t>Рабочая документация шифр  15-ОМ/2023-КЖ03-1-Б изм 1  "Плиты перекрытия корп Б  на отм. -0.600" (ВПР от 11.11.2024)</t>
  </si>
  <si>
    <t>Рабочая документация шифр  15-ОМ/2023-КЖ01-2  изм 1 "Фундаментная плита подземной автостоянки на отм.  -5,850" (ВПР от 11.11.2024)</t>
  </si>
  <si>
    <t>Рабочая документация шифр  15-ОМ/2023-КЖ02-2  изм.1 "Вертикальные несущие конструкции подземной части автостоянки на отм. -5.850" (без ВПР)</t>
  </si>
  <si>
    <t>Рабочая документация шифр  15-ОМ/2023-КЖ03-2 изм .3  "Плиты перекрытия  подземной автостоянки  на отм.  ниже -0.000" (без ВПР)</t>
  </si>
  <si>
    <t>Рабочая документация шифр 15-ОМ/2023-ВП "Строительное водопонижение" (ВПР от 24.10.2024)</t>
  </si>
  <si>
    <t>комплекс</t>
  </si>
  <si>
    <t>"Комплекс строительно-монтажных работ по устройству крепления (распорной системы) шпунтового ограждения (шпунт Ларсена Л5-УМ),
разработки котлована, открытого водоотлива, монолитные и гироизоляционные работы"</t>
  </si>
  <si>
    <t>Монолитные работы</t>
  </si>
  <si>
    <t>Монолитные работы по возведению стен и плит перекрытия ниже отм. 0.000</t>
  </si>
  <si>
    <t>Этап 4</t>
  </si>
  <si>
    <r>
      <t>306,0*1,3*6,5=2586,0 м3
K</t>
    </r>
    <r>
      <rPr>
        <b/>
        <vertAlign val="subscript"/>
        <sz val="9"/>
        <color theme="1"/>
        <rFont val="Times New Roman"/>
        <family val="1"/>
        <charset val="204"/>
      </rPr>
      <t>упл</t>
    </r>
    <r>
      <rPr>
        <b/>
        <sz val="9"/>
        <color theme="1"/>
        <rFont val="Times New Roman"/>
        <family val="1"/>
        <charset val="204"/>
      </rPr>
      <t>=0,95</t>
    </r>
  </si>
  <si>
    <t>Демонтаж распорной системы- шпунтового ограждение Ларсена Л5-УМ</t>
  </si>
  <si>
    <t xml:space="preserve">Извлечение стальных шпунтовых свай Л5-УМ и угловых секций Е22. </t>
  </si>
  <si>
    <t>Извлечение обвязочной балки из сдвоенного двутавра 50Ш1 L=(50 п. м.)</t>
  </si>
  <si>
    <t>6</t>
  </si>
  <si>
    <t>2.23</t>
  </si>
  <si>
    <t>2.17</t>
  </si>
  <si>
    <t>2.18</t>
  </si>
  <si>
    <t>2.19</t>
  </si>
  <si>
    <t>2.20</t>
  </si>
  <si>
    <t>2.21</t>
  </si>
  <si>
    <t>2.22</t>
  </si>
  <si>
    <t>2.24</t>
  </si>
  <si>
    <t>2.25</t>
  </si>
  <si>
    <t>2.26</t>
  </si>
  <si>
    <t>2.27</t>
  </si>
  <si>
    <t>2.28</t>
  </si>
  <si>
    <t>2.29</t>
  </si>
  <si>
    <t>4.15</t>
  </si>
  <si>
    <t>4.13</t>
  </si>
  <si>
    <t>4.14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</si>
  <si>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</si>
  <si>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</si>
  <si>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</si>
  <si>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</si>
  <si>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</si>
  <si>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</si>
  <si>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</si>
  <si>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</si>
  <si>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</si>
  <si>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8</t>
  </si>
  <si>
    <t>Мембрана "Planter Extra Geo", 228 рул</t>
  </si>
  <si>
    <t>Мембрана ExtraBase Pro UW-S 2,5 мм, 8 рул.</t>
  </si>
  <si>
    <t xml:space="preserve">Мембрана ExtraBase Pro UW-S 2,5 мм, </t>
  </si>
  <si>
    <t>Ставим проектные данные 265 метров или поправляем п.3.5</t>
  </si>
  <si>
    <t>Мембрану ExtraBase меняем на LogicBase V-SL 2,0 или Sika. Это решение Заказчика!</t>
  </si>
  <si>
    <t>Возражаем. Мы это оплачивать не будем. Это обязанность подрядчика по СП45.</t>
  </si>
  <si>
    <t>Разве это не входит в раздел ГИ?</t>
  </si>
  <si>
    <t>Этот шпунт взят в аренду у Арктик - пусть они и извлекают!</t>
  </si>
  <si>
    <t>Демонтаж, а не извлечение</t>
  </si>
  <si>
    <t>Считаем, что расписывать не нужно - комплект в соответствии с листами СО раздела ГИ</t>
  </si>
  <si>
    <t>Считаем, что можно объединить как оборудование насосной станции., в соответствии с листами ---- раздела ГИ</t>
  </si>
  <si>
    <t>Арендованное оборудование</t>
  </si>
  <si>
    <t>Работы выполняются только при объективной необходимости</t>
  </si>
  <si>
    <t>Это не относится к водопонижению. Ставим п. 3. Далее нумерацию меняем.</t>
  </si>
  <si>
    <t>КЕССОНЫ для лифтовых приямков.</t>
  </si>
  <si>
    <t>Объединяем в водопонижение</t>
  </si>
  <si>
    <t>299 кг/м3</t>
  </si>
  <si>
    <t>321 кг/м3</t>
  </si>
  <si>
    <t>179 кг/м3</t>
  </si>
  <si>
    <t>149 кг/м3</t>
  </si>
  <si>
    <t>173 кг/м3</t>
  </si>
  <si>
    <t>1.015</t>
  </si>
  <si>
    <t>С предъявлением лабораторных замеров толщины стенки</t>
  </si>
  <si>
    <t>123 кг/м3</t>
  </si>
  <si>
    <t>Зачем это указывать? Исключаем!</t>
  </si>
  <si>
    <t>Все нормы расхода подлежат утверждению у Застройщика. В ВОРе они не указываются. И должны учитываться только в расценке.</t>
  </si>
  <si>
    <t xml:space="preserve">И как это отслеживать? </t>
  </si>
  <si>
    <t>Задвоение - это все учтено в монолите. Либо здесь, либо там!</t>
  </si>
  <si>
    <t>Замена на П/Э</t>
  </si>
  <si>
    <t>Замена на песок</t>
  </si>
  <si>
    <t>Пенебара нет в проекте. Есть жгут Вилатерм! Причем в примечаниях сказано, что это учтено в другом разделе.</t>
  </si>
  <si>
    <t>Исключить. Монтаж труб учтен в п..2.8 и  2.9</t>
  </si>
  <si>
    <t xml:space="preserve">Возражаем оплачивать и расценивать такие работы. Проектировщики завтра будут вписывать в ВОР очистку арматуры от ржавчины, шлифовку поверхности до требуемого класса и пр. </t>
  </si>
  <si>
    <r>
      <t>ВСЕ К</t>
    </r>
    <r>
      <rPr>
        <b/>
        <i/>
        <sz val="12"/>
        <rFont val="Times New Roman"/>
        <family val="1"/>
        <charset val="204"/>
      </rPr>
      <t>расх</t>
    </r>
    <r>
      <rPr>
        <b/>
        <sz val="12"/>
        <rFont val="Times New Roman"/>
        <family val="1"/>
        <charset val="204"/>
      </rPr>
      <t xml:space="preserve"> надо убрать. Только проектные данные. Пусть все считают по общепринятой схеме. Или в накладных своих учитывают.</t>
    </r>
  </si>
  <si>
    <t>утепление</t>
  </si>
  <si>
    <t xml:space="preserve">Мембрану ExtraBase меняем на LogicBase V-SL 2,0 или Sika. Это решение Заказчика! </t>
  </si>
  <si>
    <t>Мембрану ExtraBase меняем на LogicBase V-SL 2,0 или Sika. Это решение Заказчика! Не надо этот материал вообще упоминать.</t>
  </si>
  <si>
    <t>В насосную</t>
  </si>
  <si>
    <t>Колодцев 11 комплектов</t>
  </si>
  <si>
    <t>В колодцы</t>
  </si>
  <si>
    <r>
      <t xml:space="preserve">Устройство распора фундамента со шпунтом из бетона В15 и прокладкой фанеры между распором и шпунтом </t>
    </r>
    <r>
      <rPr>
        <u val="double"/>
        <sz val="10"/>
        <color rgb="FFFF0000"/>
        <rFont val="Times New Roman"/>
        <family val="1"/>
        <charset val="204"/>
      </rPr>
      <t xml:space="preserve">УСТРОЙСТВО КОНТРФОРСОВ 2х2х0,2 из бетона В15 С Прокладкой между стеной и контрфорсом 37 шт  армирование не более 60кг/м3  </t>
    </r>
  </si>
  <si>
    <t>убрать</t>
  </si>
  <si>
    <t>Что в АР?</t>
  </si>
  <si>
    <t>Прописать реализацию во Вторчермет с возвратом денег</t>
  </si>
  <si>
    <t>Демонтаж распорной системы (п.п.5.1-5.4)</t>
  </si>
  <si>
    <t>3.4.</t>
  </si>
  <si>
    <t xml:space="preserve">Демонтаж контрфорсов с вывозом </t>
  </si>
  <si>
    <t>?</t>
  </si>
  <si>
    <t>Арендное оборудование.
Работы выполняются только при объективной необходимости</t>
  </si>
  <si>
    <t>Монтаж/демонтаж установок УВВ-3А-6КМ с устройством площадок для размещения установок  (расход металла на 4 площадки под установки УВВ-3А-6КМ - 1811,4 кг)</t>
  </si>
  <si>
    <t>Изготовление, монтаж и демонтаж металлических кронштейнов для крепления всасывающего кронштейна на ограждении (20 шт.) и откосе (68 шт.)</t>
  </si>
  <si>
    <t>Армирование ФП толщ.1200мм  (в. т.ч.  изготовление каркасов) корпус А  (КЖ01-1-А изм.1-2)</t>
  </si>
  <si>
    <t>Бетонирование ФП толщ.1000мм корпус Б на отм. -5,850 м (коэф армир. 0,164)</t>
  </si>
  <si>
    <t>Бетон В7,5 (В15 при согласовании с Заказчиком)</t>
  </si>
  <si>
    <r>
      <t xml:space="preserve">Арматура </t>
    </r>
    <r>
      <rPr>
        <sz val="10"/>
        <color theme="1"/>
        <rFont val="Times New Roman"/>
        <family val="1"/>
        <charset val="204"/>
      </rPr>
      <t>Ø</t>
    </r>
    <r>
      <rPr>
        <i/>
        <sz val="10"/>
        <color theme="1"/>
        <rFont val="Times New Roman"/>
        <family val="1"/>
        <charset val="204"/>
      </rPr>
      <t>20 мм ГОСт 34028-2016 (вес указан на 4 площадки)</t>
    </r>
  </si>
  <si>
    <r>
      <t xml:space="preserve">Проволока стальная отожженная </t>
    </r>
    <r>
      <rPr>
        <sz val="10"/>
        <color theme="1"/>
        <rFont val="Times New Roman"/>
        <family val="1"/>
        <charset val="204"/>
      </rPr>
      <t>Ø</t>
    </r>
    <r>
      <rPr>
        <i/>
        <sz val="10"/>
        <color theme="1"/>
        <rFont val="Times New Roman"/>
        <family val="1"/>
        <charset val="204"/>
      </rPr>
      <t>2 мм ГОСТ 2771-81*</t>
    </r>
  </si>
  <si>
    <t>Армирование ФП толщ.500мм (часть 1) толщ.500мм (КЖ01-2 изм.1)</t>
  </si>
  <si>
    <t>Бетонирование ФП толщ.500мм (часть 1) (коэф армир-0,117)</t>
  </si>
  <si>
    <t>Армирование ФП (часть 2) толщ.500мм ( КЖ01-2)</t>
  </si>
  <si>
    <t>Бетонирование ФП (часть 2) толщ.500мм (коэф армир-0,105)</t>
  </si>
  <si>
    <t>Устройство бетонной подготовки толщ.100мм</t>
  </si>
  <si>
    <t>Устройство бетонной подготовки из бетона В7,5 толщ.100мм</t>
  </si>
  <si>
    <t>Устройство бетонной подготовки (часть 1) толщ.100мм</t>
  </si>
  <si>
    <t>Устройство бетонной подготовки (часть 2) толщ.100мм</t>
  </si>
  <si>
    <t>1. Допускается применение б/у материала.
2. С предъявлением лабораторных замеров толщины стенки</t>
  </si>
  <si>
    <t>Выемка и вывоз (механизированная разработка) грунта пилотного котлована до отм.+156,500 на полигон на расстояние до 60 км (договор с полигоном на оказание услуг по утилизации - АО "ГК "ОСНОВА")</t>
  </si>
  <si>
    <t>Выемка и вывоз (механизированная разработка и ручная доработка 100мм - 594 м3) грунта в центральной части до планируемой отметки на полигон на расстояние до 60 км (договор с полигоном на оказание услуг по утилизации - АО "ГК "ОСНОВА")</t>
  </si>
  <si>
    <t>м4</t>
  </si>
  <si>
    <t>Выемка (механизированная разработка) грунта в центральной части до планируемой отметки на полигон на расстояние до 60 км (договор с полигоном на оказание услуг по утилизации - АО "ГК "ОСНОВА")</t>
  </si>
  <si>
    <t>Устройство насосной станции ("Wilo" Rexa PRO V05DA-126/EAD1X2-T0015-540-0 - 2шт.)</t>
  </si>
  <si>
    <t>Монтаж насосной станции НС</t>
  </si>
  <si>
    <t>126/3,78</t>
  </si>
  <si>
    <t>Монтаж полосы усиления из мембраны LogicBase V-SL 2,0 (или аналог) шириной 350 мм</t>
  </si>
  <si>
    <t>306,0*1,3*6,5=2586,0 м3</t>
  </si>
  <si>
    <t>Армирование плиты перекрытия на отм. 0,000 (корпус А) толщ.перемен. 220мм и 300мм</t>
  </si>
  <si>
    <t>Армирование плиты покрытия (Пм-1П), балок покрытия, балок перепада высот на стоянке 1,  в/о ББ/П-ЖЖ/П; 1/П-2/Б</t>
  </si>
  <si>
    <t>Армирование плиты перекрытия на отм. 0,000 (корпус Б) толщ.220 мм и 300 мм</t>
  </si>
  <si>
    <t xml:space="preserve">Монтаж ПВХ мембраны типа "LogicBase V-SL" - 2,0 мм (либо аналог) </t>
  </si>
  <si>
    <t>либо аналог: SICA Sikaplan 2,0</t>
  </si>
  <si>
    <t>Засыпка пространства под рампой песком</t>
  </si>
  <si>
    <t>Песок</t>
  </si>
  <si>
    <t>265/2,2</t>
  </si>
  <si>
    <t>Объемы предельные все работы выполняются при необходимости после дополнительного согласования с заказчиком.</t>
  </si>
  <si>
    <t>Бетонирование колонн подвала корпус А (коэф армир. 0,212)</t>
  </si>
  <si>
    <t>Бетонирование колонн подвала (коэф армир. 0,298) корпус Б</t>
  </si>
  <si>
    <t>Бетонирование плиты перекрытия, балки покрытия и балки перепада высот  на отм. 0,000 (корпус Б) (коэф армир. 0,178)</t>
  </si>
  <si>
    <t>Бетонирование стен (коэф армир-0,14)</t>
  </si>
  <si>
    <t>Бетонирование колонн (коэф армир-0,341)</t>
  </si>
  <si>
    <t>Деф.шов</t>
  </si>
  <si>
    <t>Деф.шов, ТУ 5767-006-56925804-2007</t>
  </si>
  <si>
    <t>PLANTER Standart (или аналог)</t>
  </si>
  <si>
    <t>Или аналог: П/Э 200 мкр.</t>
  </si>
  <si>
    <t>Армирование стен подвала (в т.ч. изготовление каркасов) корпус А</t>
  </si>
  <si>
    <t>Бетонирование плиты покрытия (Пм-1П), балок покрытия, балок перепада высот на стоянке 1 (коэф. Армирования -0,284),  в/о ББ/П-ЖЖ/П; 1/П-2/Б</t>
  </si>
  <si>
    <t>Устройство основания под лифтовые приямки (кессоны) толщ. 5 мм</t>
  </si>
  <si>
    <t>Монолитные работы по возведению стен и плит перекрытия ниже отм. 0.000 (Корпус А, Б, автостоянка)</t>
  </si>
  <si>
    <t>Монолитные работы по возведению стен и плит перекрытия ниже отм. 0.000 Корпуса А</t>
  </si>
  <si>
    <t>Монолитные работы по возведению стен и плит перекрытия ниже отм. 0.000 Корпуса Б</t>
  </si>
  <si>
    <t>Арматура А240С, ГОСТ 34028-2016</t>
  </si>
  <si>
    <t>Арматура А500С, ГОСТ 34028-2016</t>
  </si>
  <si>
    <t>Монолитные работы по возведению плит перекрытия ниже отм. 0.000 (Корпус А, Б, автостоянка)</t>
  </si>
  <si>
    <t>Монолитные работы по возведению стен и колонн ниже отм. 0.000 (Корпус А, Б, автостоянка)</t>
  </si>
  <si>
    <t>I</t>
  </si>
  <si>
    <t>II</t>
  </si>
  <si>
    <t>III</t>
  </si>
  <si>
    <t>Этап 3. Монолитны работы (стены, колонны, перекрытия, рампа) ниже отм. 0.000 (Корпус А, Б, автостоянка)</t>
  </si>
  <si>
    <t>Монолитные работы. Устройство бетонной подготовки, ФП и деф.швов (Корпус А, Б, автостоянка)</t>
  </si>
  <si>
    <t>Бетон В7.5 (В15 при согласовании с Заказчиком)</t>
  </si>
  <si>
    <t>IV</t>
  </si>
  <si>
    <t xml:space="preserve"> Мембрана Logic Base 2,0 мм,  рул.</t>
  </si>
  <si>
    <t>Мембрана Logic Base 2,0 мм, 8 рул.</t>
  </si>
  <si>
    <t xml:space="preserve">Мембрана Logic Base 2,0 мм, </t>
  </si>
  <si>
    <t>Монтаж профилированной дренажной мембраны "Logic Base 2,0 мм" или аналог - 8 мм на горизонтальную поверхность</t>
  </si>
  <si>
    <t>Мембрана "Logic Base 2,0 мм", 228 рул</t>
  </si>
  <si>
    <t>Монтаж мембраны Logic Base 2,0 мм  или аналог на горизонтальную поверхность по пятке ФП</t>
  </si>
  <si>
    <t>Монтаж мембраны Logic Base 2,0 мм  или аналог на вертикальную поверхность ФП и в зонах деф швов</t>
  </si>
  <si>
    <t>Монтаж профилированной дренажной мембраны "Logic Base 2,0 мм " по стенам здания</t>
  </si>
  <si>
    <t>Дренажная мембрана "Logic Base 2,0 мм" "ТЕХНОНИКОЛЬ"</t>
  </si>
  <si>
    <t>Защита стен подземной части сооружения от подтопления (постоянный водоотлив)</t>
  </si>
  <si>
    <t>Монтаж полосы усиления из мембраны "Logic Base 2,0 мм" в деформационных швах</t>
  </si>
  <si>
    <t xml:space="preserve">Монтаж мембраны Logic Base 2,0 мм или аналог на вертикальную поверхность (торцы) ФП и  в зонах дефшвов </t>
  </si>
  <si>
    <t>Монтаж мембраны Logic Base 2,0 мм или аналог на горизонтальную поверхность   по "пятке" ФП</t>
  </si>
  <si>
    <t>Монтаж мембраны Logic Base 2,0 мм или аналог на горизонтальную поверхность  ФП</t>
  </si>
  <si>
    <t>Защита фундаментной плиты от подтопления (постоянный водоотлив) (прокладка дренажных труб, гидроизоляция плит)</t>
  </si>
  <si>
    <t>Разработка и вывоз берм до планируемой отметки на полигон на расстояние до 60 км (договор с полигоном на оказание услуг по утилизации - АО "ГК "ОСНОВА")</t>
  </si>
  <si>
    <t>Этап 2. Разработка берм, устройство монолитных ФП и их гидроизоляция, устройство постоянного водоотлива в ФП.</t>
  </si>
  <si>
    <t xml:space="preserve">Устройство и демонтаж контфорсов 2х2х0,2 из бетона В15 С Прокладкой между стеной и контрфорсом 37 шт  армирование не более 60кг/м3  </t>
  </si>
  <si>
    <t xml:space="preserve">Монтаж мембраны Logic Base 2,0 мм  или аналог на горизонтальную поверхность  ФП  </t>
  </si>
  <si>
    <t>Прокладка дренажных труб "POLYCORR" из ПП SN16 Д=160 мм</t>
  </si>
  <si>
    <t>Устройство колодцев постоянного дренажа в ФП (в т.ч. устройство футляров, лестниц и люков)</t>
  </si>
  <si>
    <t>Устройство водопонижения иглофильтрами длиной 4м (18 шт.), 5,5м (55 шт.), 7м (75 шт.), 8,5м (38 шт.) с обсыпкой песком (34,3 м3) в каверну размыва и последующее их извлечение (с учетом пьезометров). Монтаж и демонтаж всасывающего коллектора Ду=150 мм - 264 м.</t>
  </si>
  <si>
    <t>Предварительное шнековое бурение скважин Д=198мм в грунтах II группы (Буровой лафет для экскаватора СБЛ-01 Геомаш)</t>
  </si>
  <si>
    <t>Лист металлический ромбического рифления 1500х2600х5 ГОСТ 8568-77* (вес указан на 4 площадки)</t>
  </si>
  <si>
    <t xml:space="preserve"> Устройство площадок для размещения установок  (расход металла на 4 площадки под установки УВВ-3А-6КМ</t>
  </si>
  <si>
    <t>Работы выполняется только при объективной необходимости и согласовании с Заказчиком</t>
  </si>
  <si>
    <t>Открытый водоотлив (изготовление зумпфов (4 шт.) из перфрпированной трубы Ду=1020мм)</t>
  </si>
  <si>
    <t>Выемка (механизированная разработка) грунта в берме под зумпфы открытого водоотлива и вывоз грунта на полигон на расстояние до 60 км (договор с полигоном на оказание услуг по утилизации - АО "ГК "ОСНОВА")</t>
  </si>
  <si>
    <t>Выемка (механизированная разработка) грунта в берме под траншеи открытого водоотлива и вывоз грунта на полигон на расстояние до 60 км (договор с полигоном на оказание услуг по утилизации - АО "ГК "ОСНОВА")</t>
  </si>
  <si>
    <r>
      <t xml:space="preserve">Трубы стальные электросварные прямошовные </t>
    </r>
    <r>
      <rPr>
        <i/>
        <u/>
        <sz val="10"/>
        <color theme="1"/>
        <rFont val="Times New Roman"/>
        <family val="1"/>
        <charset val="204"/>
      </rPr>
      <t>перфорированные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1020х8,0 II ГОСТ 10704-91/В-Ст3сп ГОСТ 10705-80</t>
    </r>
  </si>
  <si>
    <t>Монтаж трубопровода Ду=80 мм</t>
  </si>
  <si>
    <t>Монтаж  задвижки чугунной фланцевой 30ч6бр Ду=80 мм</t>
  </si>
  <si>
    <t>Монтаж фланцев 1-80-16 ст.3</t>
  </si>
  <si>
    <t>Прокладка кожухов из труб Д=219 мм для сбросного трубопровода Ду=100 мм</t>
  </si>
  <si>
    <t>Монтаж трубопровода Ду=100 мм</t>
  </si>
  <si>
    <t>Эксплуатация насосов ГНОМ 16-16 (4 шт.) (м-ч определяется ПОС и ППР)</t>
  </si>
  <si>
    <t xml:space="preserve">Этап 1.  </t>
  </si>
  <si>
    <t>6.1</t>
  </si>
  <si>
    <t>6.2</t>
  </si>
  <si>
    <t>6.3</t>
  </si>
  <si>
    <t>6.4</t>
  </si>
  <si>
    <t>Подключение труб допускается выполнять с применением пожарных шлангов.</t>
  </si>
  <si>
    <t>Бетонирование ФП  толщ.1200мм на отм. -5,850м (коэф армир. 0,142) корпус А</t>
  </si>
  <si>
    <t>пп</t>
  </si>
  <si>
    <t>11</t>
  </si>
  <si>
    <t>22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</si>
  <si>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</si>
  <si>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</si>
  <si>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</si>
  <si>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</si>
  <si>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</si>
  <si>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</si>
  <si>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</si>
  <si>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</si>
  <si>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</si>
  <si>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</si>
  <si>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</si>
  <si>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</si>
  <si>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25</t>
  </si>
  <si>
    <t>26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</si>
  <si>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</si>
  <si>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</si>
  <si>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</si>
  <si>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</si>
  <si>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</si>
  <si>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</si>
  <si>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</si>
  <si>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</si>
  <si>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</si>
  <si>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39</t>
  </si>
  <si>
    <t>40</t>
  </si>
  <si>
    <t>41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</si>
  <si>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</si>
  <si>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</si>
  <si>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</si>
  <si>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</si>
  <si>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</si>
  <si>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</si>
  <si>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</si>
  <si>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</si>
  <si>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</si>
  <si>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</si>
  <si>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</si>
  <si>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</si>
  <si>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</si>
  <si>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</si>
  <si>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</si>
  <si>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</si>
  <si>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</si>
  <si>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</si>
  <si>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</si>
  <si>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</si>
  <si>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</si>
  <si>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</si>
  <si>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</si>
  <si>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</si>
  <si>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</si>
  <si>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</si>
  <si>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</si>
  <si>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</si>
  <si>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</si>
  <si>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</si>
  <si>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</si>
  <si>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</si>
  <si>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</si>
  <si>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</si>
  <si>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</si>
  <si>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</si>
  <si>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</si>
  <si>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</si>
  <si>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</si>
  <si>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</si>
  <si>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</si>
  <si>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</si>
  <si>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</si>
  <si>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</si>
  <si>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</si>
  <si>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</si>
  <si>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</si>
  <si>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</si>
  <si>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</si>
  <si>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</si>
  <si>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</si>
  <si>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</si>
  <si>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</si>
  <si>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</si>
  <si>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</si>
  <si>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</si>
  <si>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</si>
  <si>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</si>
  <si>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</si>
  <si>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</si>
  <si>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</si>
  <si>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</si>
  <si>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</si>
  <si>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</si>
  <si>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</si>
  <si>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</si>
  <si>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</si>
  <si>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</si>
  <si>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</si>
  <si>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</si>
  <si>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</si>
  <si>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</si>
  <si>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</si>
  <si>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</si>
  <si>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</si>
  <si>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</si>
  <si>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</si>
  <si>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</si>
  <si>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</si>
  <si>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</si>
  <si>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</si>
  <si>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</si>
  <si>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</si>
  <si>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</si>
  <si>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</si>
  <si>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</si>
  <si>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</si>
  <si>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</si>
  <si>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</si>
  <si>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</si>
  <si>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</si>
  <si>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</si>
  <si>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</si>
  <si>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</si>
  <si>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</si>
  <si>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</si>
  <si>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</si>
  <si>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</si>
  <si>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</si>
  <si>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</si>
  <si>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</si>
  <si>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</si>
  <si>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</si>
  <si>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</si>
  <si>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</si>
  <si>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</si>
  <si>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</si>
  <si>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</si>
  <si>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</si>
  <si>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</si>
  <si>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</si>
  <si>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</si>
  <si>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</si>
  <si>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</si>
  <si>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</si>
  <si>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</si>
  <si>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</si>
  <si>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</si>
  <si>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</si>
  <si>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</si>
  <si>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</si>
  <si>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</si>
  <si>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</si>
  <si>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</si>
  <si>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</si>
  <si>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</si>
  <si>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</si>
  <si>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</si>
  <si>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</si>
  <si>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</si>
  <si>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</si>
  <si>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</si>
  <si>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</si>
  <si>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</si>
  <si>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</si>
  <si>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</si>
  <si>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</si>
  <si>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</si>
  <si>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</si>
  <si>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</si>
  <si>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</si>
  <si>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</si>
  <si>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</si>
  <si>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</si>
  <si>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</si>
  <si>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</si>
  <si>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</si>
  <si>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</si>
  <si>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</si>
  <si>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</si>
  <si>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</si>
  <si>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</si>
  <si>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</si>
  <si>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</si>
  <si>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</si>
  <si>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</si>
  <si>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</si>
  <si>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</si>
  <si>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</si>
  <si>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</si>
  <si>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</si>
  <si>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</si>
  <si>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</si>
  <si>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</si>
  <si>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</si>
  <si>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</si>
  <si>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</si>
  <si>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</si>
  <si>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</si>
  <si>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</si>
  <si>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</si>
  <si>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</si>
  <si>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</si>
  <si>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</si>
  <si>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</si>
  <si>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</si>
  <si>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</si>
  <si>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</si>
  <si>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</si>
  <si>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</si>
  <si>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</si>
  <si>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</si>
  <si>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</si>
  <si>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</si>
  <si>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</si>
  <si>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</si>
  <si>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</si>
  <si>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</si>
  <si>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</si>
  <si>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</si>
  <si>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</si>
  <si>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</si>
  <si>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</si>
  <si>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</si>
  <si>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</si>
  <si>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</si>
  <si>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</si>
  <si>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</si>
  <si>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</si>
  <si>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</si>
  <si>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</si>
  <si>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</si>
  <si>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</si>
  <si>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</si>
  <si>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</si>
  <si>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</si>
  <si>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</si>
  <si>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</si>
  <si>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</si>
  <si>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</si>
  <si>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</si>
  <si>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</si>
  <si>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</si>
  <si>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265</t>
  </si>
  <si>
    <t>266</t>
  </si>
  <si>
    <t>267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</si>
  <si>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</si>
  <si>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</si>
  <si>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</si>
  <si>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</si>
  <si>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</si>
  <si>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</si>
  <si>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</si>
  <si>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</si>
  <si>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</si>
  <si>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</si>
  <si>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</si>
  <si>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</si>
  <si>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</si>
  <si>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</si>
  <si>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</si>
  <si>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</si>
  <si>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</si>
  <si>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</si>
  <si>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</si>
  <si>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</si>
  <si>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</si>
  <si>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</si>
  <si>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</si>
  <si>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</si>
  <si>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</si>
  <si>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</si>
  <si>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</si>
  <si>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</si>
  <si>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</si>
  <si>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</si>
  <si>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</si>
  <si>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</si>
  <si>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</si>
  <si>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</si>
  <si>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</si>
  <si>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</si>
  <si>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</si>
  <si>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</si>
  <si>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</si>
  <si>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</si>
  <si>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</si>
  <si>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</si>
  <si>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</si>
  <si>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</si>
  <si>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</si>
  <si>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</si>
  <si>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</si>
  <si>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</si>
  <si>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</si>
  <si>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</si>
  <si>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</si>
  <si>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</si>
  <si>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</si>
  <si>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</si>
  <si>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</si>
  <si>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</si>
  <si>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</si>
  <si>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</si>
  <si>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</si>
  <si>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</si>
  <si>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</si>
  <si>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</si>
  <si>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</si>
  <si>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</si>
  <si>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</si>
  <si>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</si>
  <si>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</si>
  <si>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</si>
  <si>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</si>
  <si>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</si>
  <si>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</si>
  <si>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</si>
  <si>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</si>
  <si>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</si>
  <si>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</si>
  <si>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</si>
  <si>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</si>
  <si>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</si>
  <si>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</si>
  <si>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</si>
  <si>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</si>
  <si>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</si>
  <si>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</si>
  <si>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</si>
  <si>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</si>
  <si>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</si>
  <si>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</si>
  <si>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</si>
  <si>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</si>
  <si>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</si>
  <si>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</si>
  <si>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</si>
  <si>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</si>
  <si>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</si>
  <si>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</si>
  <si>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</si>
  <si>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</si>
  <si>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</si>
  <si>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</si>
  <si>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</si>
  <si>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</si>
  <si>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</si>
  <si>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</si>
  <si>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</si>
  <si>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</si>
  <si>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</si>
  <si>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</si>
  <si>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</si>
  <si>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</si>
  <si>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</si>
  <si>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</si>
  <si>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</si>
  <si>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</si>
  <si>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</si>
  <si>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</si>
  <si>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</si>
  <si>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</si>
  <si>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</si>
  <si>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</si>
  <si>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</si>
  <si>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</si>
  <si>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</si>
  <si>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</si>
  <si>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</si>
  <si>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</si>
  <si>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</si>
  <si>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</si>
  <si>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</si>
  <si>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</si>
  <si>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</si>
  <si>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</si>
  <si>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</si>
  <si>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</si>
  <si>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</si>
  <si>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</si>
  <si>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</si>
  <si>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</si>
  <si>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</si>
  <si>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</si>
  <si>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</si>
  <si>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</si>
  <si>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</si>
  <si>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</si>
  <si>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</si>
  <si>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</si>
  <si>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</si>
  <si>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</si>
  <si>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</si>
  <si>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</si>
  <si>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</si>
  <si>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</si>
  <si>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</si>
  <si>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</si>
  <si>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</si>
  <si>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</si>
  <si>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</si>
  <si>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</si>
  <si>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</si>
  <si>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</si>
  <si>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</si>
  <si>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</si>
  <si>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</si>
  <si>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</si>
  <si>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</si>
  <si>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</si>
  <si>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</si>
  <si>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</si>
  <si>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</si>
  <si>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</si>
  <si>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</si>
  <si>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</si>
  <si>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</si>
  <si>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</si>
  <si>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</si>
  <si>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</si>
  <si>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</si>
  <si>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</si>
  <si>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</si>
  <si>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</si>
  <si>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</si>
  <si>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</si>
  <si>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</si>
  <si>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</si>
  <si>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</si>
  <si>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</si>
  <si>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</si>
  <si>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</si>
  <si>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</si>
  <si>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</si>
  <si>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</si>
  <si>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</si>
  <si>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</si>
  <si>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</si>
  <si>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</si>
  <si>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</si>
  <si>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</si>
  <si>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Итого</t>
  </si>
  <si>
    <t>в т.ч. НДС 20%</t>
  </si>
  <si>
    <t>Утепление трубопроводов шлаковатой, рубероидом, с промазкой мастикой и обкруткой проволокой (выполняется при производстве работ в зимний период) (м/м3/м2-265/7/159)</t>
  </si>
  <si>
    <t>ПВХ-гидрошпонка "ТЕХНОНИКОЛЬ ЕС-220-3" ТУ 5775-003-96067115-2011 "ТЕХНОНИКОЛЬ" (м/шт -240/12)</t>
  </si>
  <si>
    <t>Предварительное шнековое бурение скважин Д=198мм в грунтах II группы (Буровой лафет для экскаватора СБЛ-01 Геомаш) (шт./м-152/675)</t>
  </si>
  <si>
    <t>Утепление трубопроводов шлаковатой, рубероидом с промазкой мастикой и обкруткой проволокой (выполняется при производстве работ в зимний период) (м/м3/м2-831/22,7/523,35)</t>
  </si>
  <si>
    <t>Трубы стальные электросварные прямошовные 89х4,0 II ГОСТ 10704-91/В-Ст3сп ГОСТ 10705-80 (м/т-271/2,27)</t>
  </si>
  <si>
    <t>Трубы стальные электросварные прямошовные 273х5,0 II ГОСТ 10704-91/В-Ст3сп ГОСТ 10705-80 (м/т-18/0,48)</t>
  </si>
  <si>
    <t>Трубы стальные электросварные прямошовные 108х4,0 II ГОСТ 10704-91/В-Ст3сп ГОСТ 10705-80 (м/т-32/0,33)</t>
  </si>
  <si>
    <t>Прокладка кожухов из труб Д=219 мм для сбросного трубопровода Ду=100 мм (шт/м-1/18/)</t>
  </si>
  <si>
    <t>Обсыпка траншей щебнем фракции 5-20 мм (м/м3-389/253)</t>
  </si>
  <si>
    <t>Выемка (механизированная разработка) грунта в берме под траншеи открытого водоотлива и вывоз грунта на полигон на расстояние до 60 км (договор с полигоном на оказание услуг по утилизации - АО "ГК "ОСНОВА") (м/м3-389/253)</t>
  </si>
  <si>
    <t>компл./сут</t>
  </si>
  <si>
    <t>шт./ смена</t>
  </si>
  <si>
    <t>Начальная Максимальная Цена Контракта</t>
  </si>
  <si>
    <t>Арматура А240С ф6*6000          59 450,00</t>
  </si>
  <si>
    <t>Арматура А240С ф8*6000          59 450,00</t>
  </si>
  <si>
    <t>Арматура А240С ф10*11700      59 450,00</t>
  </si>
  <si>
    <t>Арматура А240С ф12*11700      60 500,00</t>
  </si>
  <si>
    <t>Арматура А240С ф16*11700      60 500,00</t>
  </si>
  <si>
    <t>Арматура А500С ф 8*11700       58 950,00</t>
  </si>
  <si>
    <t>Арматура А500С ф 10*11700     58 150,00</t>
  </si>
  <si>
    <t>Арматура А500С ф 12*11700     55 900,00</t>
  </si>
  <si>
    <t>Арматура А500С ф 14*11700     55 350,00</t>
  </si>
  <si>
    <t>Арматура А500С ф 16*11700     55 350,00</t>
  </si>
  <si>
    <t>Арматура А500С ф 18*11700     55 350,00</t>
  </si>
  <si>
    <t>Арматура А500С ф 20*11700     55 350,00</t>
  </si>
  <si>
    <t>Арматура А500С ф 22*11700     55 350,00</t>
  </si>
  <si>
    <t>Арматура А500С ф 25*11700     55 350,00</t>
  </si>
  <si>
    <t>Арматура А500С ф 28*11700     55 350,00</t>
  </si>
  <si>
    <t>Арматура А500С ф 32*11700     55 900,00</t>
  </si>
  <si>
    <t>Арматура А500С ф 36*11700     56 400,00</t>
  </si>
  <si>
    <t>Арматура А500С ф40*11700      56 400,00</t>
  </si>
  <si>
    <t>Проволока ТО Ч 1,2 ГОСТ 3282-74          84 600,00</t>
  </si>
  <si>
    <t>Бетон марки В7,5           м3          4 735</t>
  </si>
  <si>
    <t>2.                            Бетон марки В10            м3          4 765</t>
  </si>
  <si>
    <t>3.                               Бетон марки В12,5     м3          6 100</t>
  </si>
  <si>
    <t>4.                            Бетон марки В15            м3          6 220</t>
  </si>
  <si>
    <t>5.                            Бетон марки В25            м3          6 335</t>
  </si>
  <si>
    <t>6.                            Бетон марки В30            м3          6 435</t>
  </si>
  <si>
    <t>7.                            Бетон марки В35            м3          6 570</t>
  </si>
  <si>
    <t>8.                            Бетон марки В40            м3          6 680</t>
  </si>
  <si>
    <t>9.                            Бетон марки В45            м3          7 490</t>
  </si>
  <si>
    <t>10.                         Бетон марки В50            м3          8 590</t>
  </si>
  <si>
    <t>11.                         Бетон марки В60            м3          9 760</t>
  </si>
  <si>
    <t>12.                         Цементное молоко      м3          7 195</t>
  </si>
  <si>
    <t>13.                         Ц.п. раствор М150         м3          5 740</t>
  </si>
  <si>
    <t>14.                         Ц.п. раствор М200         м3          6 070</t>
  </si>
  <si>
    <t>Доставка автобетоносмесителем         м3          800</t>
  </si>
  <si>
    <t>2.                            Противоморозная добавка (ПМД)       м3          105</t>
  </si>
  <si>
    <t>3.                            Изготовление пусковой смеси шт          2 400</t>
  </si>
  <si>
    <t>4.                            Переезд             шт          2 395</t>
  </si>
  <si>
    <t>5.                            Поворот              ч             470</t>
  </si>
  <si>
    <t>6.                            Повторная промывка АБН / Новый запуск        шт          3 900</t>
  </si>
  <si>
    <t>7.                            Повторная промывка ЛБН / Новый запуск        шт          6 500</t>
  </si>
  <si>
    <t>8.                            Услуга АБН 28 м              ч             6 150</t>
  </si>
  <si>
    <t>9.                            Услуга АБН 32 м              ч             6 450</t>
  </si>
  <si>
    <t>10.                         Услуга АБН 36 м              ч             6 750</t>
  </si>
  <si>
    <t>11.                         Услуга АБН 42 м              ч             7 400</t>
  </si>
  <si>
    <t>12.                         Услуга АБН 46 м              ч             8 150</t>
  </si>
  <si>
    <t>13.                         Услуга АБН 48 м              ч             8 500</t>
  </si>
  <si>
    <t>14.                         Услуга АБН 52 м              ч             8 650</t>
  </si>
  <si>
    <t>15.                         Услуга АБН 56 м              ч             9 150</t>
  </si>
  <si>
    <t>16.                         Услуга АБН 60 м              ч             10 850</t>
  </si>
  <si>
    <t>17.                         Услуга АБН 62 м              ч             11 150</t>
  </si>
  <si>
    <t>18.                         Услуга АБН 65 м              ч             14 150</t>
  </si>
  <si>
    <t>19.                         Услуга дополнительный бетоновод 1 м             ч             130</t>
  </si>
  <si>
    <t>20.                         Услуга дополнительный бетоновод 3 м             ч             290</t>
  </si>
  <si>
    <t>21.                         Услуга дополнительный шланг              ч              365</t>
  </si>
  <si>
    <t>22.                         Услуга дополнительный шланг 6м       ч              540</t>
  </si>
  <si>
    <t>23.                         Услуга линейного АБН ч             5 900</t>
  </si>
  <si>
    <t>Прописываем?</t>
  </si>
  <si>
    <t>1. Бетон марки В15       м3          6 220 +800 доставка</t>
  </si>
  <si>
    <t>2. Бетон марки В25       м3          6 335 +800</t>
  </si>
  <si>
    <t>3. Бетон марки В30       м3          6 435 +800</t>
  </si>
  <si>
    <t>4. Бетон марки В35       м3          6 570 +800</t>
  </si>
  <si>
    <t>5. Бетон марки В40       м3          6 680 +800</t>
  </si>
  <si>
    <t>Бетон с ПМД (при необходимости) плюс 105 руб. за м3</t>
  </si>
  <si>
    <t>6. Арматура А240С 60 100 с доставкой</t>
  </si>
  <si>
    <t>7. Арматура А500С ф 8-10 *11700         58 500,00 с доставкой</t>
  </si>
  <si>
    <t>8. Арматура А500С ф 12-32 *11700      55 500,00</t>
  </si>
  <si>
    <t>***</t>
  </si>
  <si>
    <t>м/час</t>
  </si>
  <si>
    <t>Устройство защитной стяжки из цементно-песчаного раствора М200, t=50 мм, V-229 м3 (м2/м3-5970/299)</t>
  </si>
  <si>
    <t>Устройство уклонообразующей стяжки из цементно-песчаного раствора М200 по "пятке" фундаментной плиты tmin=30 мм (м2/м3-126/3,78)</t>
  </si>
  <si>
    <t>Трубы стальные электросварные прямошовные 89х4,0 II ГОСТ 10704-91/В-Ст3сп ГОСТ 10705-80 (м/т-265/2,2)</t>
  </si>
  <si>
    <r>
      <t xml:space="preserve">Трубы стальные электросварные прямошовные </t>
    </r>
    <r>
      <rPr>
        <i/>
        <u/>
        <sz val="10"/>
        <color theme="1"/>
        <rFont val="Times New Roman"/>
        <family val="1"/>
        <charset val="204"/>
      </rPr>
      <t>перфорированные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1020х8,0 II ГОСТ 10704-91/В-Ст3сп ГОСТ 10705-80 (м/т-6/1,2)</t>
    </r>
  </si>
  <si>
    <t>Устройство пласта из щебня фракции 5-20 мм t=200 мм от ограждения до траншеи (м/м3-56/34)</t>
  </si>
  <si>
    <t>пустой</t>
  </si>
  <si>
    <t>Лента типа PLANTERBAND Технониколь самоклеющаяся (м/рул-4658/466)</t>
  </si>
  <si>
    <t>итого</t>
  </si>
  <si>
    <t>(особранный расчет, к Тендерам 707,726,728)</t>
  </si>
  <si>
    <t>"Комплекс строительно-монтажных работ по устройству крепления (распорной системы) шпунтового ограждения (шпунт Ларсена Л5-УМ),
разработки котлована, открытого водоотлива, монолитные и гидроизоляционные работы"</t>
  </si>
  <si>
    <t>Автостоянка . Плиты покрытия (часть 1)</t>
  </si>
  <si>
    <t>Автостоянка . Плиты покрытия (часть 2)</t>
  </si>
  <si>
    <t>Автостоянка. Плиты покрытия ( КЖ03-2 изм. 3) (часть 1, 2, рампа корпуса А)</t>
  </si>
  <si>
    <t>Автостоянка. (подземные конструкции) (КЖ02-2 изм. 1)</t>
  </si>
  <si>
    <t>плита монолитная</t>
  </si>
  <si>
    <t>балка покрытия</t>
  </si>
  <si>
    <t>добавлено 28.12.24</t>
  </si>
  <si>
    <t>Арматура в ассортименте (кооф.0,06)</t>
  </si>
  <si>
    <t>6.5</t>
  </si>
  <si>
    <t>6.6</t>
  </si>
  <si>
    <t>6.7</t>
  </si>
  <si>
    <t>6.8</t>
  </si>
  <si>
    <t>Деф. швы</t>
  </si>
  <si>
    <t>№
п/п</t>
  </si>
  <si>
    <t>Узел учета расхода сточных вод</t>
  </si>
  <si>
    <t>Врезка сбросного трубопровода в колодец ливневой канализации</t>
  </si>
  <si>
    <t>Проволока стальная отожженная Ø2 мм ГОСТ 2771-81*</t>
  </si>
  <si>
    <t>Арматура Ø20 мм ГОСт 34028-2016 (вес указан на 4 площадки)</t>
  </si>
  <si>
    <t>Этап 1.  Разработка пилотного котлована и центральной части, устройство водопонижение (иглофильтры) и открытого водоотлива (зумпфы).</t>
  </si>
  <si>
    <t>Тендер №707</t>
  </si>
  <si>
    <t>"Комплекс строительно-монтажных работ по устройству крепления (распорной системы) шпунтового ограждения (шпунт Ларсена Л5-УМ), открытого водоотлива, разработки котлована, устройство железобетонных конструкций ниже отм. 0,000 с защитой подземной части от подтопления (устройство дренажа и гидроизоляция), а также демонтаж распорной системы"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</si>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</sst>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0.0"/>
    <numFmt numFmtId="166" formatCode="#,##0.000"/>
    <numFmt numFmtId="167" formatCode="0.000"/>
    <numFmt numFmtId="168" formatCode="0.00000000000000000"/>
    <numFmt numFmtId="169" formatCode="#,##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9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 val="double"/>
      <sz val="10"/>
      <name val="Times New Roman"/>
      <family val="1"/>
      <charset val="204"/>
    </font>
    <font>
      <u val="double"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38" fillId="0" borderId="0" applyFont="0" applyFill="0" applyBorder="0" applyAlignment="0" applyProtection="0"/>
  </cellStyleXfs>
  <cellXfs count="876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left" vertical="center" wrapText="1"/>
    </xf>
    <xf numFmtId="4" fontId="12" fillId="4" borderId="7" xfId="0" applyNumberFormat="1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0" xfId="0" applyFill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2" fontId="9" fillId="4" borderId="1" xfId="0" applyNumberFormat="1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165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9" fontId="18" fillId="4" borderId="0" xfId="0" applyNumberFormat="1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167" fontId="12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right" vertical="center" wrapText="1"/>
    </xf>
    <xf numFmtId="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2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7" fillId="8" borderId="0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7" fillId="9" borderId="2" xfId="0" applyNumberFormat="1" applyFont="1" applyFill="1" applyBorder="1" applyAlignment="1">
      <alignment horizontal="center" vertical="center" wrapText="1"/>
    </xf>
    <xf numFmtId="4" fontId="9" fillId="7" borderId="7" xfId="0" applyNumberFormat="1" applyFont="1" applyFill="1" applyBorder="1" applyAlignment="1">
      <alignment horizontal="left" vertical="center" wrapText="1"/>
    </xf>
    <xf numFmtId="4" fontId="9" fillId="7" borderId="8" xfId="0" applyNumberFormat="1" applyFont="1" applyFill="1" applyBorder="1" applyAlignment="1">
      <alignment horizontal="center" vertical="center" wrapText="1"/>
    </xf>
    <xf numFmtId="4" fontId="9" fillId="7" borderId="9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12" fillId="7" borderId="8" xfId="0" applyNumberFormat="1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9" fillId="7" borderId="0" xfId="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 wrapText="1"/>
    </xf>
    <xf numFmtId="49" fontId="9" fillId="7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" fontId="9" fillId="7" borderId="10" xfId="0" applyNumberFormat="1" applyFont="1" applyFill="1" applyBorder="1" applyAlignment="1">
      <alignment horizontal="left" vertical="center" wrapText="1"/>
    </xf>
    <xf numFmtId="4" fontId="9" fillId="7" borderId="4" xfId="0" applyNumberFormat="1" applyFont="1" applyFill="1" applyBorder="1" applyAlignment="1">
      <alignment horizontal="center" vertical="center" wrapText="1"/>
    </xf>
    <xf numFmtId="4" fontId="2" fillId="7" borderId="4" xfId="0" applyNumberFormat="1" applyFont="1" applyFill="1" applyBorder="1" applyAlignment="1">
      <alignment vertical="center" wrapText="1"/>
    </xf>
    <xf numFmtId="4" fontId="12" fillId="7" borderId="1" xfId="0" applyNumberFormat="1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/>
    <xf numFmtId="0" fontId="2" fillId="5" borderId="1" xfId="0" applyFont="1" applyFill="1" applyBorder="1"/>
    <xf numFmtId="49" fontId="23" fillId="10" borderId="11" xfId="0" applyNumberFormat="1" applyFont="1" applyFill="1" applyBorder="1" applyAlignment="1">
      <alignment horizontal="center" vertical="center" wrapText="1"/>
    </xf>
    <xf numFmtId="2" fontId="27" fillId="4" borderId="1" xfId="0" applyNumberFormat="1" applyFont="1" applyFill="1" applyBorder="1" applyAlignment="1">
      <alignment horizontal="center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7" borderId="2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4" fillId="6" borderId="1" xfId="0" applyFont="1" applyFill="1" applyBorder="1" applyAlignment="1"/>
    <xf numFmtId="0" fontId="2" fillId="6" borderId="1" xfId="0" applyFont="1" applyFill="1" applyBorder="1"/>
    <xf numFmtId="49" fontId="18" fillId="11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12" borderId="1" xfId="0" applyFont="1" applyFill="1" applyBorder="1" applyAlignment="1">
      <alignment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4" fontId="9" fillId="12" borderId="7" xfId="0" applyNumberFormat="1" applyFont="1" applyFill="1" applyBorder="1" applyAlignment="1">
      <alignment horizontal="left" vertical="center" wrapText="1"/>
    </xf>
    <xf numFmtId="4" fontId="9" fillId="12" borderId="1" xfId="0" applyNumberFormat="1" applyFont="1" applyFill="1" applyBorder="1" applyAlignment="1">
      <alignment horizontal="center" vertical="center" wrapText="1"/>
    </xf>
    <xf numFmtId="4" fontId="2" fillId="12" borderId="1" xfId="0" applyNumberFormat="1" applyFont="1" applyFill="1" applyBorder="1" applyAlignment="1">
      <alignment vertical="center" wrapText="1"/>
    </xf>
    <xf numFmtId="0" fontId="2" fillId="12" borderId="0" xfId="0" applyFont="1" applyFill="1" applyAlignment="1">
      <alignment vertical="center" wrapText="1"/>
    </xf>
    <xf numFmtId="4" fontId="12" fillId="12" borderId="7" xfId="0" applyNumberFormat="1" applyFont="1" applyFill="1" applyBorder="1" applyAlignment="1">
      <alignment horizontal="left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7" fillId="13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7" fillId="7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0" fillId="12" borderId="7" xfId="0" applyFont="1" applyFill="1" applyBorder="1" applyAlignment="1">
      <alignment vertical="center" wrapText="1"/>
    </xf>
    <xf numFmtId="0" fontId="13" fillId="12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2" fillId="5" borderId="7" xfId="0" applyFont="1" applyFill="1" applyBorder="1"/>
    <xf numFmtId="0" fontId="2" fillId="4" borderId="15" xfId="0" applyFont="1" applyFill="1" applyBorder="1" applyAlignment="1">
      <alignment vertical="center"/>
    </xf>
    <xf numFmtId="0" fontId="2" fillId="4" borderId="7" xfId="0" applyFont="1" applyFill="1" applyBorder="1"/>
    <xf numFmtId="0" fontId="11" fillId="4" borderId="7" xfId="0" applyFont="1" applyFill="1" applyBorder="1"/>
    <xf numFmtId="0" fontId="11" fillId="0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vertical="center"/>
    </xf>
    <xf numFmtId="0" fontId="11" fillId="6" borderId="7" xfId="0" applyFont="1" applyFill="1" applyBorder="1"/>
    <xf numFmtId="0" fontId="2" fillId="6" borderId="7" xfId="0" applyFont="1" applyFill="1" applyBorder="1"/>
    <xf numFmtId="0" fontId="2" fillId="4" borderId="7" xfId="0" applyFont="1" applyFill="1" applyBorder="1" applyAlignment="1">
      <alignment wrapText="1"/>
    </xf>
    <xf numFmtId="0" fontId="10" fillId="7" borderId="10" xfId="0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6" fillId="7" borderId="7" xfId="0" applyFont="1" applyFill="1" applyBorder="1" applyAlignment="1">
      <alignment vertical="center" wrapText="1"/>
    </xf>
    <xf numFmtId="0" fontId="0" fillId="4" borderId="1" xfId="0" applyFill="1" applyBorder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3" fillId="13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/>
    </xf>
    <xf numFmtId="0" fontId="11" fillId="13" borderId="7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4" fontId="11" fillId="13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19" fillId="13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vertical="center"/>
    </xf>
    <xf numFmtId="0" fontId="11" fillId="13" borderId="7" xfId="0" applyFont="1" applyFill="1" applyBorder="1"/>
    <xf numFmtId="0" fontId="0" fillId="13" borderId="1" xfId="0" applyFill="1" applyBorder="1"/>
    <xf numFmtId="0" fontId="2" fillId="13" borderId="1" xfId="0" applyFont="1" applyFill="1" applyBorder="1"/>
    <xf numFmtId="0" fontId="11" fillId="13" borderId="1" xfId="0" applyFont="1" applyFill="1" applyBorder="1"/>
    <xf numFmtId="49" fontId="12" fillId="13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2" fillId="15" borderId="7" xfId="0" applyFont="1" applyFill="1" applyBorder="1" applyAlignment="1">
      <alignment vertical="center"/>
    </xf>
    <xf numFmtId="0" fontId="2" fillId="15" borderId="1" xfId="0" applyFont="1" applyFill="1" applyBorder="1" applyAlignment="1">
      <alignment vertical="center" wrapText="1"/>
    </xf>
    <xf numFmtId="0" fontId="13" fillId="15" borderId="7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4" fontId="7" fillId="15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vertical="center" wrapText="1"/>
    </xf>
    <xf numFmtId="0" fontId="12" fillId="15" borderId="1" xfId="0" applyFont="1" applyFill="1" applyBorder="1" applyAlignment="1">
      <alignment horizontal="left" vertical="center" wrapText="1"/>
    </xf>
    <xf numFmtId="0" fontId="11" fillId="15" borderId="1" xfId="0" applyFont="1" applyFill="1" applyBorder="1"/>
    <xf numFmtId="0" fontId="12" fillId="15" borderId="1" xfId="0" applyFont="1" applyFill="1" applyBorder="1"/>
    <xf numFmtId="4" fontId="33" fillId="13" borderId="7" xfId="0" applyNumberFormat="1" applyFont="1" applyFill="1" applyBorder="1" applyAlignment="1">
      <alignment horizontal="center" vertical="center" wrapText="1"/>
    </xf>
    <xf numFmtId="4" fontId="33" fillId="13" borderId="8" xfId="0" applyNumberFormat="1" applyFont="1" applyFill="1" applyBorder="1" applyAlignment="1">
      <alignment horizontal="center" vertical="center" wrapText="1"/>
    </xf>
    <xf numFmtId="4" fontId="33" fillId="13" borderId="9" xfId="0" applyNumberFormat="1" applyFont="1" applyFill="1" applyBorder="1" applyAlignment="1">
      <alignment horizontal="center" vertical="center" wrapText="1"/>
    </xf>
    <xf numFmtId="49" fontId="2" fillId="15" borderId="1" xfId="0" applyNumberFormat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horizontal="center" vertical="center" wrapText="1"/>
    </xf>
    <xf numFmtId="2" fontId="9" fillId="7" borderId="21" xfId="0" applyNumberFormat="1" applyFont="1" applyFill="1" applyBorder="1" applyAlignment="1">
      <alignment horizontal="center" vertical="center" wrapText="1"/>
    </xf>
    <xf numFmtId="4" fontId="9" fillId="15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49" fontId="18" fillId="16" borderId="2" xfId="0" applyNumberFormat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vertical="center" wrapText="1"/>
    </xf>
    <xf numFmtId="49" fontId="18" fillId="17" borderId="2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35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167" fontId="9" fillId="4" borderId="1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 wrapText="1"/>
    </xf>
    <xf numFmtId="49" fontId="9" fillId="16" borderId="1" xfId="0" applyNumberFormat="1" applyFont="1" applyFill="1" applyBorder="1" applyAlignment="1">
      <alignment horizontal="center" vertical="center" wrapText="1"/>
    </xf>
    <xf numFmtId="49" fontId="7" fillId="16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49" fontId="12" fillId="16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9" fontId="18" fillId="16" borderId="0" xfId="0" applyNumberFormat="1" applyFont="1" applyFill="1" applyAlignment="1">
      <alignment horizontal="center" vertical="center" wrapText="1"/>
    </xf>
    <xf numFmtId="168" fontId="2" fillId="4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49" fontId="18" fillId="17" borderId="0" xfId="0" applyNumberFormat="1" applyFont="1" applyFill="1" applyAlignment="1">
      <alignment horizontal="center" vertical="center" wrapText="1"/>
    </xf>
    <xf numFmtId="0" fontId="11" fillId="1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49" fontId="18" fillId="16" borderId="12" xfId="0" applyNumberFormat="1" applyFont="1" applyFill="1" applyBorder="1" applyAlignment="1">
      <alignment horizontal="center" vertical="center" wrapText="1"/>
    </xf>
    <xf numFmtId="49" fontId="9" fillId="18" borderId="0" xfId="0" applyNumberFormat="1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vertical="center" wrapText="1"/>
    </xf>
    <xf numFmtId="4" fontId="7" fillId="18" borderId="1" xfId="0" applyNumberFormat="1" applyFont="1" applyFill="1" applyBorder="1" applyAlignment="1">
      <alignment horizontal="center" vertical="center" wrapText="1"/>
    </xf>
    <xf numFmtId="0" fontId="2" fillId="18" borderId="7" xfId="0" applyFont="1" applyFill="1" applyBorder="1" applyAlignment="1">
      <alignment vertical="center" wrapText="1"/>
    </xf>
    <xf numFmtId="49" fontId="9" fillId="18" borderId="1" xfId="0" applyNumberFormat="1" applyFont="1" applyFill="1" applyBorder="1" applyAlignment="1">
      <alignment horizontal="center" vertical="center" wrapText="1"/>
    </xf>
    <xf numFmtId="4" fontId="9" fillId="18" borderId="7" xfId="0" applyNumberFormat="1" applyFont="1" applyFill="1" applyBorder="1" applyAlignment="1">
      <alignment horizontal="left" vertical="center" wrapText="1"/>
    </xf>
    <xf numFmtId="4" fontId="4" fillId="18" borderId="1" xfId="0" applyNumberFormat="1" applyFont="1" applyFill="1" applyBorder="1" applyAlignment="1">
      <alignment vertical="center" wrapText="1"/>
    </xf>
    <xf numFmtId="0" fontId="33" fillId="18" borderId="7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4" fontId="9" fillId="18" borderId="1" xfId="0" applyNumberFormat="1" applyFont="1" applyFill="1" applyBorder="1" applyAlignment="1">
      <alignment horizontal="center" vertical="center" wrapText="1"/>
    </xf>
    <xf numFmtId="3" fontId="9" fillId="18" borderId="1" xfId="0" applyNumberFormat="1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vertical="center" wrapText="1"/>
    </xf>
    <xf numFmtId="4" fontId="4" fillId="7" borderId="10" xfId="0" applyNumberFormat="1" applyFont="1" applyFill="1" applyBorder="1" applyAlignment="1">
      <alignment vertical="center" wrapText="1"/>
    </xf>
    <xf numFmtId="4" fontId="4" fillId="7" borderId="13" xfId="0" applyNumberFormat="1" applyFont="1" applyFill="1" applyBorder="1" applyAlignment="1">
      <alignment vertical="center" wrapText="1"/>
    </xf>
    <xf numFmtId="4" fontId="4" fillId="7" borderId="14" xfId="0" applyNumberFormat="1" applyFont="1" applyFill="1" applyBorder="1" applyAlignment="1">
      <alignment vertical="center" wrapText="1"/>
    </xf>
    <xf numFmtId="4" fontId="11" fillId="18" borderId="1" xfId="0" applyNumberFormat="1" applyFont="1" applyFill="1" applyBorder="1" applyAlignment="1">
      <alignment vertical="center" wrapText="1"/>
    </xf>
    <xf numFmtId="0" fontId="11" fillId="18" borderId="7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2" fontId="9" fillId="18" borderId="1" xfId="0" applyNumberFormat="1" applyFont="1" applyFill="1" applyBorder="1" applyAlignment="1">
      <alignment horizontal="center" vertical="center" wrapText="1"/>
    </xf>
    <xf numFmtId="49" fontId="4" fillId="18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vertical="center"/>
    </xf>
    <xf numFmtId="4" fontId="2" fillId="18" borderId="1" xfId="0" applyNumberFormat="1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horizontal="center" vertical="center"/>
    </xf>
    <xf numFmtId="4" fontId="4" fillId="18" borderId="1" xfId="0" applyNumberFormat="1" applyFont="1" applyFill="1" applyBorder="1" applyAlignment="1">
      <alignment horizontal="center" vertical="center"/>
    </xf>
    <xf numFmtId="49" fontId="23" fillId="7" borderId="22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23" fillId="7" borderId="2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vertical="center" wrapText="1"/>
    </xf>
    <xf numFmtId="49" fontId="23" fillId="7" borderId="1" xfId="0" applyNumberFormat="1" applyFont="1" applyFill="1" applyBorder="1" applyAlignment="1">
      <alignment horizontal="center" vertical="center" wrapText="1"/>
    </xf>
    <xf numFmtId="49" fontId="23" fillId="8" borderId="11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18" fillId="8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67" fontId="9" fillId="18" borderId="1" xfId="0" applyNumberFormat="1" applyFont="1" applyFill="1" applyBorder="1" applyAlignment="1">
      <alignment horizontal="center" vertical="center" wrapText="1"/>
    </xf>
    <xf numFmtId="4" fontId="2" fillId="18" borderId="1" xfId="0" applyNumberFormat="1" applyFont="1" applyFill="1" applyBorder="1" applyAlignment="1">
      <alignment horizontal="right" vertical="center" wrapText="1"/>
    </xf>
    <xf numFmtId="4" fontId="7" fillId="18" borderId="1" xfId="0" applyNumberFormat="1" applyFont="1" applyFill="1" applyBorder="1" applyAlignment="1">
      <alignment horizontal="right" vertical="center" wrapText="1"/>
    </xf>
    <xf numFmtId="0" fontId="4" fillId="18" borderId="7" xfId="0" applyFont="1" applyFill="1" applyBorder="1" applyAlignment="1">
      <alignment horizontal="left" vertical="center" wrapText="1"/>
    </xf>
    <xf numFmtId="0" fontId="9" fillId="18" borderId="1" xfId="0" applyNumberFormat="1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vertical="center" wrapText="1"/>
    </xf>
    <xf numFmtId="0" fontId="9" fillId="18" borderId="4" xfId="0" applyFont="1" applyFill="1" applyBorder="1" applyAlignment="1">
      <alignment horizontal="center" vertical="center" wrapText="1"/>
    </xf>
    <xf numFmtId="0" fontId="9" fillId="19" borderId="3" xfId="0" applyNumberFormat="1" applyFont="1" applyFill="1" applyBorder="1" applyAlignment="1">
      <alignment horizontal="center" vertical="center" wrapText="1"/>
    </xf>
    <xf numFmtId="4" fontId="9" fillId="18" borderId="1" xfId="0" applyNumberFormat="1" applyFont="1" applyFill="1" applyBorder="1" applyAlignment="1">
      <alignment horizontal="left" vertical="center" wrapText="1"/>
    </xf>
    <xf numFmtId="4" fontId="9" fillId="18" borderId="1" xfId="0" applyNumberFormat="1" applyFont="1" applyFill="1" applyBorder="1" applyAlignment="1">
      <alignment horizontal="center" vertical="center"/>
    </xf>
    <xf numFmtId="2" fontId="9" fillId="18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9" fillId="19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9" fillId="18" borderId="11" xfId="0" applyNumberFormat="1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left" vertical="center" wrapText="1"/>
    </xf>
    <xf numFmtId="4" fontId="7" fillId="0" borderId="7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vertical="center" wrapText="1"/>
    </xf>
    <xf numFmtId="0" fontId="4" fillId="18" borderId="1" xfId="0" applyNumberFormat="1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vertical="center" wrapText="1"/>
    </xf>
    <xf numFmtId="4" fontId="4" fillId="18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4" fillId="18" borderId="1" xfId="0" applyNumberFormat="1" applyFont="1" applyFill="1" applyBorder="1" applyAlignment="1">
      <alignment horizontal="right" vertical="center" wrapText="1"/>
    </xf>
    <xf numFmtId="4" fontId="4" fillId="18" borderId="1" xfId="0" applyNumberFormat="1" applyFont="1" applyFill="1" applyBorder="1" applyAlignment="1">
      <alignment horizontal="right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 wrapText="1"/>
    </xf>
    <xf numFmtId="49" fontId="7" fillId="20" borderId="1" xfId="0" applyNumberFormat="1" applyFont="1" applyFill="1" applyBorder="1" applyAlignment="1">
      <alignment horizontal="center" vertical="center" wrapText="1"/>
    </xf>
    <xf numFmtId="4" fontId="9" fillId="20" borderId="7" xfId="0" applyNumberFormat="1" applyFont="1" applyFill="1" applyBorder="1" applyAlignment="1">
      <alignment horizontal="left" vertical="center" wrapText="1"/>
    </xf>
    <xf numFmtId="4" fontId="9" fillId="20" borderId="1" xfId="0" applyNumberFormat="1" applyFont="1" applyFill="1" applyBorder="1" applyAlignment="1">
      <alignment horizontal="center" vertical="center" wrapText="1"/>
    </xf>
    <xf numFmtId="4" fontId="2" fillId="20" borderId="1" xfId="0" applyNumberFormat="1" applyFont="1" applyFill="1" applyBorder="1" applyAlignment="1">
      <alignment vertical="center" wrapText="1"/>
    </xf>
    <xf numFmtId="0" fontId="2" fillId="20" borderId="7" xfId="0" applyFont="1" applyFill="1" applyBorder="1" applyAlignment="1">
      <alignment vertical="center" wrapText="1"/>
    </xf>
    <xf numFmtId="4" fontId="4" fillId="4" borderId="0" xfId="0" applyNumberFormat="1" applyFont="1" applyFill="1" applyAlignment="1">
      <alignment horizontal="right" vertical="center" wrapText="1"/>
    </xf>
    <xf numFmtId="4" fontId="2" fillId="4" borderId="0" xfId="0" applyNumberFormat="1" applyFont="1" applyFill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9" fillId="18" borderId="1" xfId="0" applyNumberFormat="1" applyFont="1" applyFill="1" applyBorder="1" applyAlignment="1">
      <alignment horizontal="right" vertical="center" wrapText="1"/>
    </xf>
    <xf numFmtId="4" fontId="4" fillId="7" borderId="14" xfId="0" applyNumberFormat="1" applyFont="1" applyFill="1" applyBorder="1" applyAlignment="1">
      <alignment horizontal="right" vertical="center" wrapText="1"/>
    </xf>
    <xf numFmtId="4" fontId="4" fillId="7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5" fillId="20" borderId="1" xfId="0" applyNumberFormat="1" applyFont="1" applyFill="1" applyBorder="1" applyAlignment="1">
      <alignment horizontal="right" vertical="center" wrapText="1"/>
    </xf>
    <xf numFmtId="4" fontId="5" fillId="7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0" fillId="0" borderId="0" xfId="1" applyNumberFormat="1" applyFont="1"/>
    <xf numFmtId="4" fontId="0" fillId="0" borderId="0" xfId="0" applyNumberFormat="1"/>
    <xf numFmtId="0" fontId="28" fillId="0" borderId="0" xfId="0" applyFont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4" fontId="23" fillId="4" borderId="0" xfId="0" applyNumberFormat="1" applyFont="1" applyFill="1" applyAlignment="1">
      <alignment horizontal="center" vertical="center" wrapText="1"/>
    </xf>
    <xf numFmtId="4" fontId="23" fillId="4" borderId="0" xfId="0" applyNumberFormat="1" applyFont="1" applyFill="1" applyAlignment="1">
      <alignment horizontal="right" vertical="center" wrapText="1"/>
    </xf>
    <xf numFmtId="4" fontId="18" fillId="4" borderId="0" xfId="0" applyNumberFormat="1" applyFont="1" applyFill="1" applyAlignment="1">
      <alignment vertical="center"/>
    </xf>
    <xf numFmtId="4" fontId="18" fillId="4" borderId="0" xfId="0" applyNumberFormat="1" applyFont="1" applyFill="1" applyAlignment="1">
      <alignment horizontal="center" vertical="center"/>
    </xf>
    <xf numFmtId="4" fontId="18" fillId="4" borderId="0" xfId="0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right" vertical="center" wrapText="1"/>
    </xf>
    <xf numFmtId="4" fontId="6" fillId="18" borderId="1" xfId="0" applyNumberFormat="1" applyFont="1" applyFill="1" applyBorder="1" applyAlignment="1">
      <alignment horizontal="right" vertical="center" wrapText="1"/>
    </xf>
    <xf numFmtId="4" fontId="2" fillId="7" borderId="1" xfId="0" applyNumberFormat="1" applyFont="1" applyFill="1" applyBorder="1" applyAlignment="1">
      <alignment horizontal="right" vertical="center"/>
    </xf>
    <xf numFmtId="4" fontId="9" fillId="18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" fontId="4" fillId="7" borderId="10" xfId="0" applyNumberFormat="1" applyFont="1" applyFill="1" applyBorder="1" applyAlignment="1">
      <alignment horizontal="right" vertical="center" wrapText="1"/>
    </xf>
    <xf numFmtId="4" fontId="4" fillId="7" borderId="13" xfId="0" applyNumberFormat="1" applyFont="1" applyFill="1" applyBorder="1" applyAlignment="1">
      <alignment horizontal="right" vertical="center" wrapText="1"/>
    </xf>
    <xf numFmtId="4" fontId="11" fillId="18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18" borderId="1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3" fontId="18" fillId="4" borderId="0" xfId="0" applyNumberFormat="1" applyFont="1" applyFill="1" applyAlignment="1">
      <alignment horizontal="center" vertical="center"/>
    </xf>
    <xf numFmtId="3" fontId="18" fillId="4" borderId="0" xfId="0" applyNumberFormat="1" applyFont="1" applyFill="1" applyAlignment="1">
      <alignment vertical="center"/>
    </xf>
    <xf numFmtId="3" fontId="2" fillId="4" borderId="0" xfId="0" applyNumberFormat="1" applyFont="1" applyFill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9" fillId="18" borderId="1" xfId="0" applyNumberFormat="1" applyFont="1" applyFill="1" applyBorder="1" applyAlignment="1">
      <alignment horizontal="right" vertical="center" wrapText="1"/>
    </xf>
    <xf numFmtId="3" fontId="6" fillId="18" borderId="1" xfId="0" applyNumberFormat="1" applyFont="1" applyFill="1" applyBorder="1" applyAlignment="1">
      <alignment horizontal="right" vertical="center" wrapText="1"/>
    </xf>
    <xf numFmtId="3" fontId="4" fillId="18" borderId="1" xfId="0" applyNumberFormat="1" applyFont="1" applyFill="1" applyBorder="1" applyAlignment="1">
      <alignment horizontal="right" vertical="center"/>
    </xf>
    <xf numFmtId="3" fontId="2" fillId="18" borderId="1" xfId="0" applyNumberFormat="1" applyFont="1" applyFill="1" applyBorder="1" applyAlignment="1">
      <alignment horizontal="right" vertical="center" wrapText="1"/>
    </xf>
    <xf numFmtId="3" fontId="7" fillId="18" borderId="1" xfId="0" applyNumberFormat="1" applyFont="1" applyFill="1" applyBorder="1" applyAlignment="1">
      <alignment horizontal="right" vertical="center" wrapText="1"/>
    </xf>
    <xf numFmtId="3" fontId="4" fillId="18" borderId="1" xfId="0" applyNumberFormat="1" applyFont="1" applyFill="1" applyBorder="1" applyAlignment="1">
      <alignment horizontal="right" vertical="center" wrapText="1"/>
    </xf>
    <xf numFmtId="3" fontId="4" fillId="7" borderId="13" xfId="0" applyNumberFormat="1" applyFont="1" applyFill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11" fillId="18" borderId="1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right" vertical="center"/>
    </xf>
    <xf numFmtId="3" fontId="9" fillId="18" borderId="7" xfId="0" applyNumberFormat="1" applyFont="1" applyFill="1" applyBorder="1" applyAlignment="1">
      <alignment horizontal="right" vertical="center" wrapText="1"/>
    </xf>
    <xf numFmtId="3" fontId="7" fillId="7" borderId="1" xfId="0" applyNumberFormat="1" applyFont="1" applyFill="1" applyBorder="1" applyAlignment="1">
      <alignment horizontal="right" vertical="center" wrapText="1"/>
    </xf>
    <xf numFmtId="3" fontId="2" fillId="18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 wrapText="1"/>
    </xf>
    <xf numFmtId="3" fontId="2" fillId="20" borderId="1" xfId="0" applyNumberFormat="1" applyFont="1" applyFill="1" applyBorder="1" applyAlignment="1">
      <alignment vertical="center" wrapText="1"/>
    </xf>
    <xf numFmtId="3" fontId="2" fillId="7" borderId="1" xfId="0" applyNumberFormat="1" applyFont="1" applyFill="1" applyBorder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4" fontId="39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/>
    </xf>
    <xf numFmtId="0" fontId="33" fillId="0" borderId="7" xfId="0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center" vertical="center"/>
    </xf>
    <xf numFmtId="167" fontId="3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0" fillId="0" borderId="0" xfId="1" applyNumberFormat="1" applyFont="1" applyFill="1" applyAlignment="1">
      <alignment horizontal="right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left" vertical="center" wrapText="1"/>
    </xf>
    <xf numFmtId="4" fontId="4" fillId="7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0" fontId="9" fillId="7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/>
    </xf>
    <xf numFmtId="167" fontId="2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4" fillId="20" borderId="1" xfId="0" applyNumberFormat="1" applyFont="1" applyFill="1" applyBorder="1" applyAlignment="1">
      <alignment horizontal="right" vertical="center" wrapText="1"/>
    </xf>
    <xf numFmtId="0" fontId="43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22" fillId="18" borderId="1" xfId="0" applyNumberFormat="1" applyFont="1" applyFill="1" applyBorder="1" applyAlignment="1">
      <alignment horizontal="center" vertical="center" wrapText="1"/>
    </xf>
    <xf numFmtId="49" fontId="14" fillId="18" borderId="1" xfId="0" applyNumberFormat="1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44" fillId="7" borderId="22" xfId="0" applyNumberFormat="1" applyFont="1" applyFill="1" applyBorder="1" applyAlignment="1">
      <alignment horizontal="center" vertic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44" fillId="7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9" fontId="44" fillId="8" borderId="11" xfId="0" applyNumberFormat="1" applyFont="1" applyFill="1" applyBorder="1" applyAlignment="1">
      <alignment horizontal="center" vertical="center" wrapText="1"/>
    </xf>
    <xf numFmtId="49" fontId="22" fillId="18" borderId="0" xfId="0" applyNumberFormat="1" applyFont="1" applyFill="1" applyBorder="1" applyAlignment="1">
      <alignment horizontal="center" vertical="center" wrapText="1"/>
    </xf>
    <xf numFmtId="49" fontId="44" fillId="0" borderId="12" xfId="0" applyNumberFormat="1" applyFont="1" applyFill="1" applyBorder="1" applyAlignment="1">
      <alignment horizontal="center" vertical="center" wrapText="1"/>
    </xf>
    <xf numFmtId="49" fontId="45" fillId="0" borderId="11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49" fontId="44" fillId="8" borderId="2" xfId="0" applyNumberFormat="1" applyFont="1" applyFill="1" applyBorder="1" applyAlignment="1">
      <alignment horizontal="center" vertical="center" wrapText="1"/>
    </xf>
    <xf numFmtId="49" fontId="45" fillId="0" borderId="2" xfId="0" applyNumberFormat="1" applyFont="1" applyFill="1" applyBorder="1" applyAlignment="1">
      <alignment horizontal="center" vertical="center" wrapText="1"/>
    </xf>
    <xf numFmtId="49" fontId="12" fillId="20" borderId="1" xfId="0" applyNumberFormat="1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4" fontId="4" fillId="6" borderId="1" xfId="0" applyNumberFormat="1" applyFont="1" applyFill="1" applyBorder="1" applyAlignment="1">
      <alignment horizontal="right" vertical="center"/>
    </xf>
    <xf numFmtId="0" fontId="34" fillId="6" borderId="7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4" fontId="2" fillId="6" borderId="0" xfId="0" applyNumberFormat="1" applyFont="1" applyFill="1" applyAlignment="1">
      <alignment horizontal="right"/>
    </xf>
    <xf numFmtId="4" fontId="2" fillId="6" borderId="1" xfId="0" applyNumberFormat="1" applyFont="1" applyFill="1" applyBorder="1" applyAlignment="1">
      <alignment horizontal="right" vertical="center"/>
    </xf>
    <xf numFmtId="0" fontId="11" fillId="6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0" fontId="9" fillId="6" borderId="1" xfId="0" applyFont="1" applyFill="1" applyBorder="1" applyAlignment="1">
      <alignment horizontal="left" vertical="center"/>
    </xf>
    <xf numFmtId="4" fontId="4" fillId="0" borderId="0" xfId="0" applyNumberFormat="1" applyFont="1" applyFill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right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4" fontId="11" fillId="0" borderId="0" xfId="0" applyNumberFormat="1" applyFont="1" applyFill="1" applyAlignment="1">
      <alignment horizontal="right"/>
    </xf>
    <xf numFmtId="4" fontId="12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0" fontId="14" fillId="18" borderId="7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Alignment="1">
      <alignment vertical="center"/>
    </xf>
    <xf numFmtId="0" fontId="2" fillId="4" borderId="0" xfId="0" applyNumberFormat="1" applyFont="1" applyFill="1" applyAlignment="1">
      <alignment horizontal="center" vertical="center" wrapText="1"/>
    </xf>
    <xf numFmtId="0" fontId="18" fillId="4" borderId="0" xfId="0" applyNumberFormat="1" applyFont="1" applyFill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0" fontId="14" fillId="4" borderId="4" xfId="0" applyFont="1" applyFill="1" applyBorder="1" applyAlignment="1">
      <alignment vertical="center" wrapText="1"/>
    </xf>
    <xf numFmtId="4" fontId="11" fillId="4" borderId="0" xfId="0" applyNumberFormat="1" applyFont="1" applyFill="1" applyAlignment="1">
      <alignment horizontal="right" vertical="center"/>
    </xf>
    <xf numFmtId="0" fontId="11" fillId="4" borderId="5" xfId="0" applyFont="1" applyFill="1" applyBorder="1" applyAlignment="1">
      <alignment vertical="center" wrapText="1"/>
    </xf>
    <xf numFmtId="0" fontId="9" fillId="18" borderId="4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right" vertical="center" wrapText="1"/>
    </xf>
    <xf numFmtId="4" fontId="4" fillId="6" borderId="1" xfId="0" applyNumberFormat="1" applyFont="1" applyFill="1" applyBorder="1" applyAlignment="1">
      <alignment horizontal="right"/>
    </xf>
    <xf numFmtId="4" fontId="9" fillId="6" borderId="1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4" fillId="13" borderId="10" xfId="0" applyNumberFormat="1" applyFont="1" applyFill="1" applyBorder="1" applyAlignment="1">
      <alignment horizontal="center" vertical="center" wrapText="1"/>
    </xf>
    <xf numFmtId="4" fontId="4" fillId="13" borderId="13" xfId="0" applyNumberFormat="1" applyFont="1" applyFill="1" applyBorder="1" applyAlignment="1">
      <alignment horizontal="center" vertical="center" wrapText="1"/>
    </xf>
    <xf numFmtId="4" fontId="4" fillId="13" borderId="14" xfId="0" applyNumberFormat="1" applyFont="1" applyFill="1" applyBorder="1" applyAlignment="1">
      <alignment horizontal="center" vertical="center" wrapText="1"/>
    </xf>
    <xf numFmtId="4" fontId="4" fillId="13" borderId="15" xfId="0" applyNumberFormat="1" applyFont="1" applyFill="1" applyBorder="1" applyAlignment="1">
      <alignment horizontal="center" vertical="center" wrapText="1"/>
    </xf>
    <xf numFmtId="4" fontId="4" fillId="13" borderId="16" xfId="0" applyNumberFormat="1" applyFont="1" applyFill="1" applyBorder="1" applyAlignment="1">
      <alignment horizontal="center" vertical="center" wrapText="1"/>
    </xf>
    <xf numFmtId="4" fontId="4" fillId="13" borderId="1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4" fontId="4" fillId="13" borderId="7" xfId="0" applyNumberFormat="1" applyFont="1" applyFill="1" applyBorder="1" applyAlignment="1">
      <alignment horizontal="center" vertical="center" wrapText="1"/>
    </xf>
    <xf numFmtId="4" fontId="4" fillId="13" borderId="8" xfId="0" applyNumberFormat="1" applyFont="1" applyFill="1" applyBorder="1" applyAlignment="1">
      <alignment horizontal="center" vertical="center" wrapText="1"/>
    </xf>
    <xf numFmtId="4" fontId="4" fillId="13" borderId="9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" fontId="2" fillId="13" borderId="10" xfId="0" applyNumberFormat="1" applyFont="1" applyFill="1" applyBorder="1" applyAlignment="1">
      <alignment horizontal="center" vertical="center" wrapText="1"/>
    </xf>
    <xf numFmtId="4" fontId="2" fillId="13" borderId="13" xfId="0" applyNumberFormat="1" applyFont="1" applyFill="1" applyBorder="1" applyAlignment="1">
      <alignment horizontal="center" vertical="center" wrapText="1"/>
    </xf>
    <xf numFmtId="4" fontId="2" fillId="13" borderId="14" xfId="0" applyNumberFormat="1" applyFont="1" applyFill="1" applyBorder="1" applyAlignment="1">
      <alignment horizontal="center" vertical="center" wrapText="1"/>
    </xf>
    <xf numFmtId="4" fontId="2" fillId="13" borderId="18" xfId="0" applyNumberFormat="1" applyFont="1" applyFill="1" applyBorder="1" applyAlignment="1">
      <alignment horizontal="center" vertical="center" wrapText="1"/>
    </xf>
    <xf numFmtId="4" fontId="2" fillId="13" borderId="0" xfId="0" applyNumberFormat="1" applyFont="1" applyFill="1" applyBorder="1" applyAlignment="1">
      <alignment horizontal="center" vertical="center" wrapText="1"/>
    </xf>
    <xf numFmtId="4" fontId="2" fillId="13" borderId="19" xfId="0" applyNumberFormat="1" applyFont="1" applyFill="1" applyBorder="1" applyAlignment="1">
      <alignment horizontal="center" vertical="center" wrapText="1"/>
    </xf>
    <xf numFmtId="4" fontId="2" fillId="13" borderId="15" xfId="0" applyNumberFormat="1" applyFont="1" applyFill="1" applyBorder="1" applyAlignment="1">
      <alignment horizontal="center" vertical="center" wrapText="1"/>
    </xf>
    <xf numFmtId="4" fontId="2" fillId="13" borderId="16" xfId="0" applyNumberFormat="1" applyFont="1" applyFill="1" applyBorder="1" applyAlignment="1">
      <alignment horizontal="center" vertical="center" wrapText="1"/>
    </xf>
    <xf numFmtId="4" fontId="2" fillId="13" borderId="17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4" fontId="11" fillId="13" borderId="7" xfId="0" applyNumberFormat="1" applyFont="1" applyFill="1" applyBorder="1" applyAlignment="1">
      <alignment horizontal="center" vertical="center"/>
    </xf>
    <xf numFmtId="4" fontId="11" fillId="13" borderId="8" xfId="0" applyNumberFormat="1" applyFont="1" applyFill="1" applyBorder="1" applyAlignment="1">
      <alignment horizontal="center" vertical="center"/>
    </xf>
    <xf numFmtId="4" fontId="11" fillId="13" borderId="9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4" fontId="4" fillId="13" borderId="10" xfId="0" applyNumberFormat="1" applyFont="1" applyFill="1" applyBorder="1" applyAlignment="1">
      <alignment horizontal="center" vertical="center"/>
    </xf>
    <xf numFmtId="4" fontId="4" fillId="13" borderId="13" xfId="0" applyNumberFormat="1" applyFont="1" applyFill="1" applyBorder="1" applyAlignment="1">
      <alignment horizontal="center" vertical="center"/>
    </xf>
    <xf numFmtId="4" fontId="4" fillId="13" borderId="14" xfId="0" applyNumberFormat="1" applyFont="1" applyFill="1" applyBorder="1" applyAlignment="1">
      <alignment horizontal="center" vertical="center"/>
    </xf>
    <xf numFmtId="4" fontId="4" fillId="13" borderId="15" xfId="0" applyNumberFormat="1" applyFont="1" applyFill="1" applyBorder="1" applyAlignment="1">
      <alignment horizontal="center" vertical="center"/>
    </xf>
    <xf numFmtId="4" fontId="4" fillId="13" borderId="16" xfId="0" applyNumberFormat="1" applyFont="1" applyFill="1" applyBorder="1" applyAlignment="1">
      <alignment horizontal="center" vertical="center"/>
    </xf>
    <xf numFmtId="4" fontId="4" fillId="13" borderId="17" xfId="0" applyNumberFormat="1" applyFont="1" applyFill="1" applyBorder="1" applyAlignment="1">
      <alignment horizontal="center" vertical="center"/>
    </xf>
    <xf numFmtId="4" fontId="4" fillId="15" borderId="7" xfId="0" applyNumberFormat="1" applyFont="1" applyFill="1" applyBorder="1" applyAlignment="1">
      <alignment horizontal="center" vertical="center" wrapText="1"/>
    </xf>
    <xf numFmtId="4" fontId="4" fillId="15" borderId="8" xfId="0" applyNumberFormat="1" applyFont="1" applyFill="1" applyBorder="1" applyAlignment="1">
      <alignment horizontal="center" vertical="center" wrapText="1"/>
    </xf>
    <xf numFmtId="4" fontId="4" fillId="15" borderId="9" xfId="0" applyNumberFormat="1" applyFont="1" applyFill="1" applyBorder="1" applyAlignment="1">
      <alignment horizontal="center" vertical="center" wrapText="1"/>
    </xf>
    <xf numFmtId="4" fontId="2" fillId="13" borderId="10" xfId="0" applyNumberFormat="1" applyFont="1" applyFill="1" applyBorder="1" applyAlignment="1">
      <alignment horizontal="center" vertical="center"/>
    </xf>
    <xf numFmtId="4" fontId="2" fillId="13" borderId="13" xfId="0" applyNumberFormat="1" applyFont="1" applyFill="1" applyBorder="1" applyAlignment="1">
      <alignment horizontal="center" vertical="center"/>
    </xf>
    <xf numFmtId="4" fontId="2" fillId="13" borderId="14" xfId="0" applyNumberFormat="1" applyFont="1" applyFill="1" applyBorder="1" applyAlignment="1">
      <alignment horizontal="center" vertical="center"/>
    </xf>
    <xf numFmtId="4" fontId="2" fillId="13" borderId="18" xfId="0" applyNumberFormat="1" applyFont="1" applyFill="1" applyBorder="1" applyAlignment="1">
      <alignment horizontal="center" vertical="center"/>
    </xf>
    <xf numFmtId="4" fontId="2" fillId="13" borderId="0" xfId="0" applyNumberFormat="1" applyFont="1" applyFill="1" applyBorder="1" applyAlignment="1">
      <alignment horizontal="center" vertical="center"/>
    </xf>
    <xf numFmtId="4" fontId="2" fillId="13" borderId="19" xfId="0" applyNumberFormat="1" applyFont="1" applyFill="1" applyBorder="1" applyAlignment="1">
      <alignment horizontal="center" vertical="center"/>
    </xf>
    <xf numFmtId="4" fontId="2" fillId="13" borderId="15" xfId="0" applyNumberFormat="1" applyFont="1" applyFill="1" applyBorder="1" applyAlignment="1">
      <alignment horizontal="center" vertical="center"/>
    </xf>
    <xf numFmtId="4" fontId="2" fillId="13" borderId="16" xfId="0" applyNumberFormat="1" applyFont="1" applyFill="1" applyBorder="1" applyAlignment="1">
      <alignment horizontal="center" vertical="center"/>
    </xf>
    <xf numFmtId="4" fontId="2" fillId="13" borderId="17" xfId="0" applyNumberFormat="1" applyFont="1" applyFill="1" applyBorder="1" applyAlignment="1">
      <alignment horizontal="center" vertical="center"/>
    </xf>
    <xf numFmtId="4" fontId="2" fillId="15" borderId="7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5" borderId="9" xfId="0" applyNumberFormat="1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4" fontId="33" fillId="13" borderId="7" xfId="0" applyNumberFormat="1" applyFont="1" applyFill="1" applyBorder="1" applyAlignment="1">
      <alignment horizontal="center" vertical="center" wrapText="1"/>
    </xf>
    <xf numFmtId="4" fontId="33" fillId="13" borderId="8" xfId="0" applyNumberFormat="1" applyFont="1" applyFill="1" applyBorder="1" applyAlignment="1">
      <alignment horizontal="center" vertical="center" wrapText="1"/>
    </xf>
    <xf numFmtId="4" fontId="33" fillId="13" borderId="9" xfId="0" applyNumberFormat="1" applyFont="1" applyFill="1" applyBorder="1" applyAlignment="1">
      <alignment horizontal="center" vertical="center" wrapText="1"/>
    </xf>
    <xf numFmtId="4" fontId="4" fillId="13" borderId="18" xfId="0" applyNumberFormat="1" applyFont="1" applyFill="1" applyBorder="1" applyAlignment="1">
      <alignment horizontal="center" vertical="center" wrapText="1"/>
    </xf>
    <xf numFmtId="4" fontId="4" fillId="13" borderId="0" xfId="0" applyNumberFormat="1" applyFont="1" applyFill="1" applyBorder="1" applyAlignment="1">
      <alignment horizontal="center" vertical="center" wrapText="1"/>
    </xf>
    <xf numFmtId="4" fontId="4" fillId="13" borderId="19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66FFFF"/>
      <color rgb="FFCCCC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4B07-FDF7-449C-B077-D5A926BCC098}">
  <sheetPr>
    <outlinePr summaryBelow="0"/>
    <pageSetUpPr fitToPage="1"/>
  </sheetPr>
  <dimension ref="A1:AG496"/>
  <sheetViews>
    <sheetView topLeftCell="A22" zoomScale="70" zoomScaleNormal="70" workbookViewId="0">
      <selection activeCell="J492" sqref="J492"/>
    </sheetView>
  </sheetViews>
  <sheetFormatPr defaultRowHeight="12.75" outlineLevelRow="4" x14ac:dyDescent="0.25"/>
  <cols>
    <col min="1" max="2" width="5.7109375" style="42" customWidth="1"/>
    <col min="3" max="3" width="93.42578125" style="33" customWidth="1"/>
    <col min="4" max="4" width="10.42578125" style="518" customWidth="1"/>
    <col min="5" max="5" width="14.140625" style="44" bestFit="1" customWidth="1"/>
    <col min="6" max="6" width="13.7109375" style="45" customWidth="1"/>
    <col min="7" max="7" width="13.7109375" style="496" customWidth="1"/>
    <col min="8" max="9" width="14.7109375" style="45" customWidth="1"/>
    <col min="10" max="10" width="16.7109375" style="455" bestFit="1" customWidth="1"/>
    <col min="11" max="11" width="40" style="27" customWidth="1"/>
    <col min="12" max="12" width="25.42578125" style="33" customWidth="1"/>
    <col min="13" max="13" width="16.7109375" style="257" customWidth="1"/>
    <col min="14" max="33" width="9.140625" style="257"/>
    <col min="34" max="16384" width="9.140625" style="33"/>
  </cols>
  <sheetData>
    <row r="1" spans="1:33" ht="30" customHeight="1" x14ac:dyDescent="0.25">
      <c r="A1" s="33"/>
      <c r="B1" s="759" t="s">
        <v>1216</v>
      </c>
      <c r="C1" s="759"/>
      <c r="D1" s="759"/>
      <c r="E1" s="759"/>
      <c r="F1" s="759"/>
      <c r="G1" s="759"/>
      <c r="H1" s="759"/>
      <c r="I1" s="759"/>
      <c r="J1" s="759"/>
      <c r="K1" s="759"/>
    </row>
    <row r="2" spans="1:33" ht="30" customHeight="1" x14ac:dyDescent="0.25">
      <c r="A2" s="33"/>
      <c r="B2" s="516"/>
      <c r="C2" s="759" t="s">
        <v>1293</v>
      </c>
      <c r="D2" s="759"/>
      <c r="E2" s="759"/>
      <c r="F2" s="759"/>
      <c r="G2" s="759"/>
      <c r="H2" s="759"/>
      <c r="I2" s="759"/>
      <c r="J2" s="759"/>
      <c r="K2" s="759"/>
    </row>
    <row r="3" spans="1:33" ht="37.5" customHeight="1" x14ac:dyDescent="0.25">
      <c r="A3" s="33"/>
      <c r="B3" s="760" t="s">
        <v>1294</v>
      </c>
      <c r="C3" s="760"/>
      <c r="D3" s="760"/>
      <c r="E3" s="760"/>
      <c r="F3" s="760"/>
      <c r="G3" s="760"/>
      <c r="H3" s="760"/>
      <c r="I3" s="760"/>
      <c r="J3" s="760"/>
      <c r="K3" s="760"/>
    </row>
    <row r="4" spans="1:33" x14ac:dyDescent="0.25">
      <c r="A4" s="34"/>
      <c r="B4" s="34"/>
      <c r="C4" s="34"/>
      <c r="D4" s="34"/>
      <c r="E4" s="35"/>
      <c r="F4" s="36"/>
      <c r="G4" s="492"/>
      <c r="H4" s="36"/>
      <c r="I4" s="36"/>
      <c r="J4" s="454"/>
      <c r="K4" s="34"/>
    </row>
    <row r="5" spans="1:33" ht="22.5" customHeight="1" x14ac:dyDescent="0.25">
      <c r="A5" s="33"/>
      <c r="B5" s="761" t="s">
        <v>120</v>
      </c>
      <c r="C5" s="761"/>
      <c r="D5" s="761"/>
      <c r="E5" s="761"/>
      <c r="F5" s="761"/>
      <c r="G5" s="761"/>
      <c r="H5" s="761"/>
      <c r="I5" s="761"/>
      <c r="J5" s="761"/>
      <c r="K5" s="761"/>
    </row>
    <row r="6" spans="1:33" x14ac:dyDescent="0.25">
      <c r="A6" s="34"/>
      <c r="B6" s="34"/>
      <c r="C6" s="34"/>
      <c r="D6" s="34"/>
      <c r="E6" s="35"/>
      <c r="F6" s="36"/>
      <c r="G6" s="492"/>
      <c r="H6" s="36"/>
      <c r="I6" s="36"/>
      <c r="J6" s="454"/>
      <c r="K6" s="34"/>
    </row>
    <row r="7" spans="1:33" s="27" customFormat="1" x14ac:dyDescent="0.25">
      <c r="A7" s="37"/>
      <c r="B7" s="37"/>
      <c r="C7" s="38" t="s">
        <v>560</v>
      </c>
      <c r="D7" s="37"/>
      <c r="E7" s="37"/>
      <c r="F7" s="470"/>
      <c r="G7" s="493"/>
      <c r="H7" s="470"/>
      <c r="I7" s="470"/>
      <c r="J7" s="471"/>
      <c r="K7" s="37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</row>
    <row r="8" spans="1:33" s="27" customFormat="1" x14ac:dyDescent="0.25">
      <c r="A8" s="39"/>
      <c r="B8" s="39"/>
      <c r="C8" s="40" t="s">
        <v>561</v>
      </c>
      <c r="D8" s="40"/>
      <c r="E8" s="40"/>
      <c r="F8" s="472"/>
      <c r="G8" s="494"/>
      <c r="H8" s="473"/>
      <c r="I8" s="474"/>
      <c r="J8" s="475"/>
      <c r="K8" s="39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</row>
    <row r="9" spans="1:33" s="27" customFormat="1" x14ac:dyDescent="0.25">
      <c r="A9" s="39"/>
      <c r="B9" s="39"/>
      <c r="C9" s="40" t="s">
        <v>562</v>
      </c>
      <c r="D9" s="40"/>
      <c r="E9" s="40"/>
      <c r="F9" s="472"/>
      <c r="G9" s="494"/>
      <c r="H9" s="473"/>
      <c r="I9" s="474"/>
      <c r="J9" s="475"/>
      <c r="K9" s="39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</row>
    <row r="10" spans="1:33" s="27" customFormat="1" x14ac:dyDescent="0.25">
      <c r="A10" s="39"/>
      <c r="B10" s="39"/>
      <c r="C10" s="40" t="s">
        <v>563</v>
      </c>
      <c r="D10" s="40"/>
      <c r="E10" s="40"/>
      <c r="F10" s="472"/>
      <c r="G10" s="494"/>
      <c r="H10" s="473"/>
      <c r="I10" s="474"/>
      <c r="J10" s="475"/>
      <c r="K10" s="39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</row>
    <row r="11" spans="1:33" s="27" customFormat="1" x14ac:dyDescent="0.25">
      <c r="A11" s="39"/>
      <c r="B11" s="39"/>
      <c r="C11" s="40" t="s">
        <v>564</v>
      </c>
      <c r="D11" s="40"/>
      <c r="E11" s="40"/>
      <c r="F11" s="472"/>
      <c r="G11" s="495"/>
      <c r="H11" s="473"/>
      <c r="I11" s="474"/>
      <c r="J11" s="475"/>
      <c r="K11" s="39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</row>
    <row r="12" spans="1:33" s="27" customFormat="1" x14ac:dyDescent="0.25">
      <c r="A12" s="39"/>
      <c r="B12" s="39"/>
      <c r="C12" s="40" t="s">
        <v>565</v>
      </c>
      <c r="D12" s="40"/>
      <c r="E12" s="40"/>
      <c r="F12" s="472"/>
      <c r="G12" s="495"/>
      <c r="H12" s="473"/>
      <c r="I12" s="474"/>
      <c r="J12" s="475"/>
      <c r="K12" s="39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 spans="1:33" s="27" customFormat="1" x14ac:dyDescent="0.25">
      <c r="A13" s="39"/>
      <c r="B13" s="39"/>
      <c r="C13" s="40" t="s">
        <v>566</v>
      </c>
      <c r="D13" s="40"/>
      <c r="E13" s="40"/>
      <c r="F13" s="472"/>
      <c r="G13" s="494"/>
      <c r="H13" s="473"/>
      <c r="I13" s="474"/>
      <c r="J13" s="475"/>
      <c r="K13" s="39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</row>
    <row r="14" spans="1:33" s="27" customFormat="1" x14ac:dyDescent="0.25">
      <c r="A14" s="39"/>
      <c r="B14" s="39"/>
      <c r="C14" s="40" t="s">
        <v>567</v>
      </c>
      <c r="D14" s="40"/>
      <c r="E14" s="40"/>
      <c r="F14" s="472"/>
      <c r="G14" s="495"/>
      <c r="H14" s="473"/>
      <c r="I14" s="474"/>
      <c r="J14" s="475"/>
      <c r="K14" s="39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</row>
    <row r="15" spans="1:33" s="27" customFormat="1" x14ac:dyDescent="0.25">
      <c r="A15" s="39"/>
      <c r="B15" s="39"/>
      <c r="C15" s="40" t="s">
        <v>568</v>
      </c>
      <c r="D15" s="40"/>
      <c r="E15" s="40"/>
      <c r="F15" s="472"/>
      <c r="G15" s="495"/>
      <c r="H15" s="473"/>
      <c r="I15" s="474"/>
      <c r="J15" s="475"/>
      <c r="K15" s="3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</row>
    <row r="16" spans="1:33" s="27" customFormat="1" x14ac:dyDescent="0.25">
      <c r="A16" s="39"/>
      <c r="B16" s="39"/>
      <c r="C16" s="40" t="s">
        <v>569</v>
      </c>
      <c r="D16" s="40"/>
      <c r="E16" s="40"/>
      <c r="F16" s="472"/>
      <c r="G16" s="495"/>
      <c r="H16" s="473"/>
      <c r="I16" s="474"/>
      <c r="J16" s="475"/>
      <c r="K16" s="39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</row>
    <row r="17" spans="1:33" s="27" customFormat="1" x14ac:dyDescent="0.25">
      <c r="A17" s="39"/>
      <c r="B17" s="39"/>
      <c r="C17" s="40" t="s">
        <v>570</v>
      </c>
      <c r="D17" s="40"/>
      <c r="E17" s="40"/>
      <c r="F17" s="472"/>
      <c r="G17" s="495"/>
      <c r="H17" s="472"/>
      <c r="I17" s="474"/>
      <c r="J17" s="475"/>
      <c r="K17" s="39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</row>
    <row r="18" spans="1:33" s="27" customFormat="1" x14ac:dyDescent="0.25">
      <c r="A18" s="39"/>
      <c r="B18" s="39"/>
      <c r="C18" s="40" t="s">
        <v>571</v>
      </c>
      <c r="D18" s="40"/>
      <c r="E18" s="40"/>
      <c r="F18" s="472"/>
      <c r="G18" s="495"/>
      <c r="H18" s="473"/>
      <c r="I18" s="474"/>
      <c r="J18" s="475"/>
      <c r="K18" s="39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</row>
    <row r="19" spans="1:33" x14ac:dyDescent="0.25">
      <c r="C19" s="33" t="s">
        <v>572</v>
      </c>
    </row>
    <row r="20" spans="1:33" x14ac:dyDescent="0.25">
      <c r="K20" s="577" t="s">
        <v>1292</v>
      </c>
      <c r="L20" s="455">
        <f>J490</f>
        <v>316969027.27999997</v>
      </c>
    </row>
    <row r="21" spans="1:33" s="49" customFormat="1" ht="54" customHeight="1" x14ac:dyDescent="0.25">
      <c r="A21" s="46" t="s">
        <v>761</v>
      </c>
      <c r="B21" s="46" t="s">
        <v>1</v>
      </c>
      <c r="C21" s="28" t="s">
        <v>2</v>
      </c>
      <c r="D21" s="28" t="s">
        <v>3</v>
      </c>
      <c r="E21" s="47" t="s">
        <v>4</v>
      </c>
      <c r="F21" s="48" t="s">
        <v>11</v>
      </c>
      <c r="G21" s="497" t="s">
        <v>12</v>
      </c>
      <c r="H21" s="48" t="s">
        <v>8</v>
      </c>
      <c r="I21" s="48" t="s">
        <v>9</v>
      </c>
      <c r="J21" s="456" t="s">
        <v>10</v>
      </c>
      <c r="K21" s="202" t="s">
        <v>5</v>
      </c>
      <c r="L21" s="67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</row>
    <row r="22" spans="1:33" s="49" customFormat="1" ht="24.75" customHeight="1" x14ac:dyDescent="0.25">
      <c r="A22" s="583"/>
      <c r="B22" s="114"/>
      <c r="C22" s="115" t="s">
        <v>754</v>
      </c>
      <c r="D22" s="116"/>
      <c r="E22" s="117"/>
      <c r="F22" s="118"/>
      <c r="G22" s="498"/>
      <c r="H22" s="118"/>
      <c r="I22" s="118"/>
      <c r="J22" s="457"/>
      <c r="K22" s="203"/>
      <c r="L22" s="67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</row>
    <row r="23" spans="1:33" s="34" customFormat="1" ht="46.5" customHeight="1" collapsed="1" x14ac:dyDescent="0.25">
      <c r="A23" s="245" t="s">
        <v>7</v>
      </c>
      <c r="B23" s="379" t="s">
        <v>7</v>
      </c>
      <c r="C23" s="376" t="s">
        <v>674</v>
      </c>
      <c r="D23" s="395" t="s">
        <v>0</v>
      </c>
      <c r="E23" s="427">
        <v>6330</v>
      </c>
      <c r="F23" s="458"/>
      <c r="G23" s="499"/>
      <c r="H23" s="458"/>
      <c r="I23" s="458">
        <f t="shared" ref="I23:I40" si="0">G23*E23</f>
        <v>0</v>
      </c>
      <c r="J23" s="458">
        <f t="shared" ref="J23:J87" si="1">H23+I23</f>
        <v>0</v>
      </c>
      <c r="K23" s="387"/>
      <c r="L23" s="28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</row>
    <row r="24" spans="1:33" s="341" customFormat="1" ht="46.5" hidden="1" customHeight="1" outlineLevel="1" x14ac:dyDescent="0.25">
      <c r="A24" s="245"/>
      <c r="B24" s="245" t="s">
        <v>27</v>
      </c>
      <c r="C24" s="339" t="s">
        <v>674</v>
      </c>
      <c r="D24" s="336" t="s">
        <v>0</v>
      </c>
      <c r="E24" s="579">
        <v>6330</v>
      </c>
      <c r="F24" s="526"/>
      <c r="G24" s="491">
        <v>900</v>
      </c>
      <c r="H24" s="464">
        <f>F24*E24</f>
        <v>0</v>
      </c>
      <c r="I24" s="464">
        <f t="shared" si="0"/>
        <v>5697000</v>
      </c>
      <c r="J24" s="464">
        <f t="shared" ref="J24" si="2">H24+I24</f>
        <v>5697000</v>
      </c>
      <c r="K24" s="349"/>
      <c r="L24" s="342"/>
    </row>
    <row r="25" spans="1:33" s="34" customFormat="1" ht="46.5" customHeight="1" collapsed="1" x14ac:dyDescent="0.25">
      <c r="A25" s="245" t="s">
        <v>6</v>
      </c>
      <c r="B25" s="379" t="s">
        <v>6</v>
      </c>
      <c r="C25" s="376" t="s">
        <v>739</v>
      </c>
      <c r="D25" s="395" t="s">
        <v>573</v>
      </c>
      <c r="E25" s="427">
        <v>1</v>
      </c>
      <c r="F25" s="458"/>
      <c r="G25" s="499"/>
      <c r="H25" s="458"/>
      <c r="I25" s="458">
        <f t="shared" si="0"/>
        <v>0</v>
      </c>
      <c r="J25" s="458">
        <f t="shared" si="1"/>
        <v>0</v>
      </c>
      <c r="K25" s="387" t="s">
        <v>620</v>
      </c>
      <c r="L25" s="28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</row>
    <row r="26" spans="1:33" s="182" customFormat="1" ht="46.5" hidden="1" customHeight="1" outlineLevel="2" x14ac:dyDescent="0.25">
      <c r="A26" s="245" t="s">
        <v>98</v>
      </c>
      <c r="B26" s="245" t="s">
        <v>16</v>
      </c>
      <c r="C26" s="339" t="s">
        <v>1206</v>
      </c>
      <c r="D26" s="2" t="s">
        <v>60</v>
      </c>
      <c r="E26" s="2">
        <v>675</v>
      </c>
      <c r="F26" s="444">
        <v>0</v>
      </c>
      <c r="G26" s="491">
        <v>351</v>
      </c>
      <c r="H26" s="464">
        <f t="shared" ref="H26:H48" si="3">F26*E26</f>
        <v>0</v>
      </c>
      <c r="I26" s="464">
        <f t="shared" si="0"/>
        <v>236925</v>
      </c>
      <c r="J26" s="464">
        <f t="shared" si="1"/>
        <v>236925</v>
      </c>
      <c r="K26" s="346"/>
      <c r="L26" s="175"/>
    </row>
    <row r="27" spans="1:33" s="197" customFormat="1" ht="30.75" hidden="1" customHeight="1" outlineLevel="3" x14ac:dyDescent="0.25">
      <c r="A27" s="245" t="s">
        <v>46</v>
      </c>
      <c r="B27" s="249"/>
      <c r="C27" s="193" t="s">
        <v>128</v>
      </c>
      <c r="D27" s="177" t="s">
        <v>1215</v>
      </c>
      <c r="E27" s="363" t="s">
        <v>7</v>
      </c>
      <c r="F27" s="444">
        <v>15000</v>
      </c>
      <c r="G27" s="491">
        <v>0</v>
      </c>
      <c r="H27" s="464">
        <f t="shared" si="3"/>
        <v>15000</v>
      </c>
      <c r="I27" s="464">
        <f t="shared" si="0"/>
        <v>0</v>
      </c>
      <c r="J27" s="464">
        <f t="shared" si="1"/>
        <v>15000</v>
      </c>
      <c r="K27" s="299" t="s">
        <v>620</v>
      </c>
      <c r="L27" s="762" t="s">
        <v>624</v>
      </c>
    </row>
    <row r="28" spans="1:33" s="197" customFormat="1" ht="25.5" hidden="1" outlineLevel="2" x14ac:dyDescent="0.25">
      <c r="A28" s="245" t="s">
        <v>74</v>
      </c>
      <c r="B28" s="245" t="s">
        <v>17</v>
      </c>
      <c r="C28" s="339" t="s">
        <v>129</v>
      </c>
      <c r="D28" s="2" t="s">
        <v>45</v>
      </c>
      <c r="E28" s="2">
        <f>SUM(E29:E32)</f>
        <v>186</v>
      </c>
      <c r="F28" s="444">
        <v>0</v>
      </c>
      <c r="G28" s="491">
        <v>1712</v>
      </c>
      <c r="H28" s="464">
        <f t="shared" si="3"/>
        <v>0</v>
      </c>
      <c r="I28" s="464">
        <f t="shared" si="0"/>
        <v>318432</v>
      </c>
      <c r="J28" s="464">
        <f t="shared" si="1"/>
        <v>318432</v>
      </c>
      <c r="K28" s="299" t="s">
        <v>620</v>
      </c>
      <c r="L28" s="763"/>
    </row>
    <row r="29" spans="1:33" s="180" customFormat="1" ht="25.5" hidden="1" outlineLevel="3" x14ac:dyDescent="0.25">
      <c r="A29" s="245" t="s">
        <v>582</v>
      </c>
      <c r="B29" s="245"/>
      <c r="C29" s="339" t="s">
        <v>129</v>
      </c>
      <c r="D29" s="2" t="s">
        <v>45</v>
      </c>
      <c r="E29" s="2">
        <v>18</v>
      </c>
      <c r="F29" s="444">
        <v>0</v>
      </c>
      <c r="G29" s="491">
        <v>1712</v>
      </c>
      <c r="H29" s="464">
        <f t="shared" si="3"/>
        <v>0</v>
      </c>
      <c r="I29" s="464">
        <f t="shared" si="0"/>
        <v>30816</v>
      </c>
      <c r="J29" s="464">
        <f t="shared" si="1"/>
        <v>30816</v>
      </c>
      <c r="K29" s="299" t="s">
        <v>620</v>
      </c>
      <c r="L29" s="763"/>
    </row>
    <row r="30" spans="1:33" s="180" customFormat="1" ht="25.5" hidden="1" outlineLevel="3" x14ac:dyDescent="0.25">
      <c r="A30" s="245" t="s">
        <v>87</v>
      </c>
      <c r="B30" s="245"/>
      <c r="C30" s="339" t="s">
        <v>130</v>
      </c>
      <c r="D30" s="2" t="s">
        <v>45</v>
      </c>
      <c r="E30" s="2">
        <v>55</v>
      </c>
      <c r="F30" s="444">
        <v>0</v>
      </c>
      <c r="G30" s="491">
        <v>1963</v>
      </c>
      <c r="H30" s="464">
        <f t="shared" si="3"/>
        <v>0</v>
      </c>
      <c r="I30" s="464">
        <f t="shared" si="0"/>
        <v>107965</v>
      </c>
      <c r="J30" s="464">
        <f t="shared" si="1"/>
        <v>107965</v>
      </c>
      <c r="K30" s="299" t="s">
        <v>620</v>
      </c>
      <c r="L30" s="763"/>
    </row>
    <row r="31" spans="1:33" s="180" customFormat="1" ht="25.5" hidden="1" outlineLevel="3" x14ac:dyDescent="0.25">
      <c r="A31" s="245" t="s">
        <v>608</v>
      </c>
      <c r="B31" s="245"/>
      <c r="C31" s="339" t="s">
        <v>131</v>
      </c>
      <c r="D31" s="2" t="s">
        <v>45</v>
      </c>
      <c r="E31" s="2">
        <v>75</v>
      </c>
      <c r="F31" s="444">
        <v>0</v>
      </c>
      <c r="G31" s="491">
        <v>2449</v>
      </c>
      <c r="H31" s="464">
        <f t="shared" si="3"/>
        <v>0</v>
      </c>
      <c r="I31" s="464">
        <f t="shared" si="0"/>
        <v>183675</v>
      </c>
      <c r="J31" s="464">
        <f t="shared" si="1"/>
        <v>183675</v>
      </c>
      <c r="K31" s="299" t="s">
        <v>620</v>
      </c>
      <c r="L31" s="763"/>
    </row>
    <row r="32" spans="1:33" s="180" customFormat="1" ht="25.5" hidden="1" customHeight="1" outlineLevel="3" x14ac:dyDescent="0.25">
      <c r="A32" s="245" t="s">
        <v>764</v>
      </c>
      <c r="B32" s="245"/>
      <c r="C32" s="339" t="s">
        <v>132</v>
      </c>
      <c r="D32" s="2" t="s">
        <v>45</v>
      </c>
      <c r="E32" s="2">
        <v>38</v>
      </c>
      <c r="F32" s="444">
        <v>0</v>
      </c>
      <c r="G32" s="491">
        <v>3034</v>
      </c>
      <c r="H32" s="464">
        <f t="shared" si="3"/>
        <v>0</v>
      </c>
      <c r="I32" s="464">
        <f t="shared" si="0"/>
        <v>115292</v>
      </c>
      <c r="J32" s="464">
        <f t="shared" si="1"/>
        <v>115292</v>
      </c>
      <c r="K32" s="299" t="s">
        <v>620</v>
      </c>
      <c r="L32" s="763"/>
    </row>
    <row r="33" spans="1:12" s="180" customFormat="1" ht="25.5" hidden="1" customHeight="1" outlineLevel="2" x14ac:dyDescent="0.25">
      <c r="A33" s="245" t="s">
        <v>765</v>
      </c>
      <c r="B33" s="245" t="s">
        <v>18</v>
      </c>
      <c r="C33" s="339" t="s">
        <v>133</v>
      </c>
      <c r="D33" s="2" t="s">
        <v>0</v>
      </c>
      <c r="E33" s="2" t="s">
        <v>134</v>
      </c>
      <c r="F33" s="482">
        <v>0</v>
      </c>
      <c r="G33" s="491">
        <v>1271</v>
      </c>
      <c r="H33" s="464">
        <f t="shared" si="3"/>
        <v>0</v>
      </c>
      <c r="I33" s="464">
        <f t="shared" si="0"/>
        <v>43595.3</v>
      </c>
      <c r="J33" s="464">
        <f t="shared" si="1"/>
        <v>43595.3</v>
      </c>
      <c r="K33" s="437"/>
      <c r="L33" s="763"/>
    </row>
    <row r="34" spans="1:12" s="197" customFormat="1" ht="25.5" hidden="1" outlineLevel="3" x14ac:dyDescent="0.25">
      <c r="A34" s="245" t="s">
        <v>762</v>
      </c>
      <c r="B34" s="249"/>
      <c r="C34" s="193" t="s">
        <v>135</v>
      </c>
      <c r="D34" s="363" t="s">
        <v>0</v>
      </c>
      <c r="E34" s="363" t="str">
        <f>E33</f>
        <v>34,3</v>
      </c>
      <c r="F34" s="444">
        <v>450</v>
      </c>
      <c r="G34" s="491">
        <v>4473</v>
      </c>
      <c r="H34" s="464">
        <f t="shared" si="3"/>
        <v>15435</v>
      </c>
      <c r="I34" s="464">
        <f t="shared" si="0"/>
        <v>153423.9</v>
      </c>
      <c r="J34" s="464">
        <f t="shared" si="1"/>
        <v>168858.9</v>
      </c>
      <c r="K34" s="299"/>
      <c r="L34" s="763"/>
    </row>
    <row r="35" spans="1:12" s="257" customFormat="1" ht="20.25" hidden="1" customHeight="1" outlineLevel="2" x14ac:dyDescent="0.25">
      <c r="A35" s="245" t="s">
        <v>766</v>
      </c>
      <c r="B35" s="245" t="s">
        <v>19</v>
      </c>
      <c r="C35" s="179" t="s">
        <v>138</v>
      </c>
      <c r="D35" s="517" t="s">
        <v>60</v>
      </c>
      <c r="E35" s="517" t="s">
        <v>139</v>
      </c>
      <c r="F35" s="444">
        <v>0</v>
      </c>
      <c r="G35" s="491">
        <v>941</v>
      </c>
      <c r="H35" s="464">
        <f t="shared" si="3"/>
        <v>0</v>
      </c>
      <c r="I35" s="464">
        <f t="shared" si="0"/>
        <v>248424</v>
      </c>
      <c r="J35" s="464">
        <f t="shared" si="1"/>
        <v>248424</v>
      </c>
      <c r="K35" s="299" t="s">
        <v>620</v>
      </c>
      <c r="L35" s="763"/>
    </row>
    <row r="36" spans="1:12" s="257" customFormat="1" ht="38.25" hidden="1" outlineLevel="2" x14ac:dyDescent="0.25">
      <c r="A36" s="245" t="s">
        <v>767</v>
      </c>
      <c r="B36" s="245" t="s">
        <v>20</v>
      </c>
      <c r="C36" s="179" t="s">
        <v>658</v>
      </c>
      <c r="D36" s="177" t="s">
        <v>276</v>
      </c>
      <c r="E36" s="517">
        <v>4</v>
      </c>
      <c r="F36" s="444">
        <v>0</v>
      </c>
      <c r="G36" s="520">
        <v>49521</v>
      </c>
      <c r="H36" s="464">
        <f t="shared" si="3"/>
        <v>0</v>
      </c>
      <c r="I36" s="464">
        <f t="shared" si="0"/>
        <v>198084</v>
      </c>
      <c r="J36" s="464">
        <f t="shared" si="1"/>
        <v>198084</v>
      </c>
      <c r="K36" s="297" t="s">
        <v>657</v>
      </c>
      <c r="L36" s="438"/>
    </row>
    <row r="37" spans="1:12" s="197" customFormat="1" ht="38.25" hidden="1" outlineLevel="4" x14ac:dyDescent="0.25">
      <c r="A37" s="245" t="s">
        <v>768</v>
      </c>
      <c r="B37" s="249"/>
      <c r="C37" s="193" t="s">
        <v>162</v>
      </c>
      <c r="D37" s="363" t="s">
        <v>54</v>
      </c>
      <c r="E37" s="363" t="s">
        <v>46</v>
      </c>
      <c r="F37" s="479">
        <v>8500</v>
      </c>
      <c r="G37" s="491">
        <v>20000</v>
      </c>
      <c r="H37" s="464">
        <f t="shared" si="3"/>
        <v>34000</v>
      </c>
      <c r="I37" s="464">
        <f t="shared" si="0"/>
        <v>80000</v>
      </c>
      <c r="J37" s="464">
        <f t="shared" si="1"/>
        <v>114000</v>
      </c>
      <c r="K37" s="297" t="s">
        <v>657</v>
      </c>
      <c r="L37" s="436"/>
    </row>
    <row r="38" spans="1:12" s="257" customFormat="1" ht="38.25" hidden="1" outlineLevel="3" x14ac:dyDescent="0.25">
      <c r="A38" s="245" t="s">
        <v>769</v>
      </c>
      <c r="B38" s="245"/>
      <c r="C38" s="179" t="s">
        <v>164</v>
      </c>
      <c r="D38" s="517" t="s">
        <v>54</v>
      </c>
      <c r="E38" s="517" t="s">
        <v>7</v>
      </c>
      <c r="F38" s="444">
        <v>0</v>
      </c>
      <c r="G38" s="491">
        <v>39617</v>
      </c>
      <c r="H38" s="464">
        <f t="shared" si="3"/>
        <v>0</v>
      </c>
      <c r="I38" s="464">
        <f t="shared" si="0"/>
        <v>39617</v>
      </c>
      <c r="J38" s="464">
        <f t="shared" si="1"/>
        <v>39617</v>
      </c>
      <c r="K38" s="297" t="s">
        <v>657</v>
      </c>
      <c r="L38" s="436"/>
    </row>
    <row r="39" spans="1:12" s="257" customFormat="1" ht="38.25" hidden="1" outlineLevel="3" x14ac:dyDescent="0.25">
      <c r="A39" s="245" t="s">
        <v>770</v>
      </c>
      <c r="B39" s="245"/>
      <c r="C39" s="179" t="s">
        <v>166</v>
      </c>
      <c r="D39" s="517" t="s">
        <v>1284</v>
      </c>
      <c r="E39" s="517" t="s">
        <v>7</v>
      </c>
      <c r="F39" s="464">
        <v>451</v>
      </c>
      <c r="G39" s="491">
        <v>0</v>
      </c>
      <c r="H39" s="464">
        <f t="shared" si="3"/>
        <v>451</v>
      </c>
      <c r="I39" s="464">
        <f t="shared" si="0"/>
        <v>0</v>
      </c>
      <c r="J39" s="464">
        <f t="shared" si="1"/>
        <v>451</v>
      </c>
      <c r="K39" s="297" t="s">
        <v>657</v>
      </c>
      <c r="L39" s="439"/>
    </row>
    <row r="40" spans="1:12" s="257" customFormat="1" ht="30" hidden="1" customHeight="1" outlineLevel="3" x14ac:dyDescent="0.25">
      <c r="A40" s="245" t="s">
        <v>771</v>
      </c>
      <c r="B40" s="245"/>
      <c r="C40" s="179" t="s">
        <v>742</v>
      </c>
      <c r="D40" s="517" t="s">
        <v>92</v>
      </c>
      <c r="E40" s="517">
        <f>SUM(E41:E45)</f>
        <v>1811.4</v>
      </c>
      <c r="F40" s="464"/>
      <c r="G40" s="491">
        <v>59</v>
      </c>
      <c r="H40" s="464">
        <f t="shared" si="3"/>
        <v>0</v>
      </c>
      <c r="I40" s="464">
        <f t="shared" si="0"/>
        <v>106872.6</v>
      </c>
      <c r="J40" s="464">
        <f t="shared" si="1"/>
        <v>106872.6</v>
      </c>
      <c r="K40" s="490"/>
      <c r="L40" s="436"/>
    </row>
    <row r="41" spans="1:12" s="197" customFormat="1" ht="38.25" hidden="1" customHeight="1" outlineLevel="4" x14ac:dyDescent="0.25">
      <c r="A41" s="245" t="s">
        <v>772</v>
      </c>
      <c r="B41" s="249"/>
      <c r="C41" s="193" t="s">
        <v>741</v>
      </c>
      <c r="D41" s="177" t="s">
        <v>92</v>
      </c>
      <c r="E41" s="363">
        <f>163.02*4</f>
        <v>652.08000000000004</v>
      </c>
      <c r="F41" s="464">
        <v>70.989999999999995</v>
      </c>
      <c r="G41" s="491">
        <v>0</v>
      </c>
      <c r="H41" s="464">
        <f t="shared" si="3"/>
        <v>46291.16</v>
      </c>
      <c r="I41" s="464">
        <v>0</v>
      </c>
      <c r="J41" s="464">
        <f t="shared" si="1"/>
        <v>46291.16</v>
      </c>
      <c r="K41" s="297" t="s">
        <v>657</v>
      </c>
      <c r="L41" s="436"/>
    </row>
    <row r="42" spans="1:12" s="197" customFormat="1" ht="38.25" hidden="1" customHeight="1" outlineLevel="4" x14ac:dyDescent="0.25">
      <c r="A42" s="245" t="s">
        <v>773</v>
      </c>
      <c r="B42" s="249"/>
      <c r="C42" s="193" t="s">
        <v>154</v>
      </c>
      <c r="D42" s="177" t="s">
        <v>92</v>
      </c>
      <c r="E42" s="363">
        <f>(84.53+34.3+73.5+48.02)*4</f>
        <v>961.4</v>
      </c>
      <c r="F42" s="464">
        <v>72.5</v>
      </c>
      <c r="G42" s="491">
        <v>0</v>
      </c>
      <c r="H42" s="464">
        <f t="shared" si="3"/>
        <v>69701.5</v>
      </c>
      <c r="I42" s="464">
        <v>0</v>
      </c>
      <c r="J42" s="464">
        <f t="shared" si="1"/>
        <v>69701.5</v>
      </c>
      <c r="K42" s="297"/>
      <c r="L42" s="436"/>
    </row>
    <row r="43" spans="1:12" s="197" customFormat="1" hidden="1" outlineLevel="4" x14ac:dyDescent="0.25">
      <c r="A43" s="245" t="s">
        <v>174</v>
      </c>
      <c r="B43" s="249"/>
      <c r="C43" s="193" t="s">
        <v>663</v>
      </c>
      <c r="D43" s="177" t="s">
        <v>92</v>
      </c>
      <c r="E43" s="363">
        <v>111.68</v>
      </c>
      <c r="F43" s="464">
        <v>55.35</v>
      </c>
      <c r="G43" s="491">
        <v>0</v>
      </c>
      <c r="H43" s="464">
        <f t="shared" si="3"/>
        <v>6181.49</v>
      </c>
      <c r="I43" s="464">
        <v>0</v>
      </c>
      <c r="J43" s="464">
        <f t="shared" si="1"/>
        <v>6181.49</v>
      </c>
      <c r="K43" s="297"/>
      <c r="L43" s="436"/>
    </row>
    <row r="44" spans="1:12" s="197" customFormat="1" ht="22.5" hidden="1" customHeight="1" outlineLevel="4" x14ac:dyDescent="0.25">
      <c r="A44" s="245" t="s">
        <v>774</v>
      </c>
      <c r="B44" s="249"/>
      <c r="C44" s="193" t="s">
        <v>158</v>
      </c>
      <c r="D44" s="177" t="s">
        <v>92</v>
      </c>
      <c r="E44" s="363">
        <f>6.74*4</f>
        <v>26.96</v>
      </c>
      <c r="F44" s="464">
        <v>67.69</v>
      </c>
      <c r="G44" s="491">
        <v>0</v>
      </c>
      <c r="H44" s="464">
        <f t="shared" si="3"/>
        <v>1824.92</v>
      </c>
      <c r="I44" s="464">
        <v>0</v>
      </c>
      <c r="J44" s="464">
        <f t="shared" si="1"/>
        <v>1824.92</v>
      </c>
      <c r="K44" s="297"/>
      <c r="L44" s="436"/>
    </row>
    <row r="45" spans="1:12" s="197" customFormat="1" hidden="1" outlineLevel="4" x14ac:dyDescent="0.25">
      <c r="A45" s="245" t="s">
        <v>763</v>
      </c>
      <c r="B45" s="249"/>
      <c r="C45" s="193" t="s">
        <v>159</v>
      </c>
      <c r="D45" s="177" t="s">
        <v>92</v>
      </c>
      <c r="E45" s="363">
        <f>14.82*4</f>
        <v>59.28</v>
      </c>
      <c r="F45" s="464">
        <v>55.35</v>
      </c>
      <c r="G45" s="491">
        <v>0</v>
      </c>
      <c r="H45" s="464">
        <f t="shared" si="3"/>
        <v>3281.15</v>
      </c>
      <c r="I45" s="464">
        <v>0</v>
      </c>
      <c r="J45" s="464">
        <f t="shared" si="1"/>
        <v>3281.15</v>
      </c>
      <c r="K45" s="297"/>
      <c r="L45" s="436"/>
    </row>
    <row r="46" spans="1:12" s="257" customFormat="1" ht="25.5" hidden="1" outlineLevel="2" x14ac:dyDescent="0.25">
      <c r="A46" s="245" t="s">
        <v>775</v>
      </c>
      <c r="B46" s="245" t="s">
        <v>308</v>
      </c>
      <c r="C46" s="179" t="s">
        <v>659</v>
      </c>
      <c r="D46" s="2" t="s">
        <v>45</v>
      </c>
      <c r="E46" s="517">
        <v>88</v>
      </c>
      <c r="F46" s="464">
        <v>785</v>
      </c>
      <c r="G46" s="491">
        <v>314</v>
      </c>
      <c r="H46" s="464">
        <f t="shared" si="3"/>
        <v>69080</v>
      </c>
      <c r="I46" s="464">
        <f>G46*E46</f>
        <v>27632</v>
      </c>
      <c r="J46" s="464">
        <f t="shared" si="1"/>
        <v>96712</v>
      </c>
      <c r="K46" s="297" t="s">
        <v>621</v>
      </c>
      <c r="L46" s="185"/>
    </row>
    <row r="47" spans="1:12" s="197" customFormat="1" hidden="1" outlineLevel="3" x14ac:dyDescent="0.25">
      <c r="A47" s="245" t="s">
        <v>522</v>
      </c>
      <c r="B47" s="249"/>
      <c r="C47" s="193" t="s">
        <v>175</v>
      </c>
      <c r="D47" s="177" t="s">
        <v>45</v>
      </c>
      <c r="E47" s="363" t="s">
        <v>174</v>
      </c>
      <c r="F47" s="464">
        <v>785</v>
      </c>
      <c r="G47" s="491">
        <v>0</v>
      </c>
      <c r="H47" s="464">
        <f t="shared" si="3"/>
        <v>15700</v>
      </c>
      <c r="I47" s="464">
        <v>0</v>
      </c>
      <c r="J47" s="464">
        <f t="shared" si="1"/>
        <v>15700</v>
      </c>
      <c r="K47" s="299"/>
      <c r="L47" s="763"/>
    </row>
    <row r="48" spans="1:12" s="197" customFormat="1" hidden="1" outlineLevel="3" x14ac:dyDescent="0.25">
      <c r="A48" s="245" t="s">
        <v>776</v>
      </c>
      <c r="B48" s="249"/>
      <c r="C48" s="193" t="s">
        <v>179</v>
      </c>
      <c r="D48" s="177" t="s">
        <v>45</v>
      </c>
      <c r="E48" s="363" t="s">
        <v>178</v>
      </c>
      <c r="F48" s="464">
        <v>785</v>
      </c>
      <c r="G48" s="491">
        <v>0</v>
      </c>
      <c r="H48" s="464">
        <f t="shared" si="3"/>
        <v>53380</v>
      </c>
      <c r="I48" s="464">
        <v>0</v>
      </c>
      <c r="J48" s="464">
        <f t="shared" si="1"/>
        <v>53380</v>
      </c>
      <c r="K48" s="299"/>
      <c r="L48" s="763"/>
    </row>
    <row r="49" spans="1:12" s="257" customFormat="1" hidden="1" outlineLevel="2" x14ac:dyDescent="0.25">
      <c r="A49" s="245" t="s">
        <v>777</v>
      </c>
      <c r="B49" s="245" t="s">
        <v>311</v>
      </c>
      <c r="C49" s="179" t="s">
        <v>181</v>
      </c>
      <c r="D49" s="2" t="s">
        <v>45</v>
      </c>
      <c r="E49" s="517" t="s">
        <v>46</v>
      </c>
      <c r="F49" s="480"/>
      <c r="G49" s="491">
        <v>49520</v>
      </c>
      <c r="H49" s="464">
        <f>F50*E49</f>
        <v>495200</v>
      </c>
      <c r="I49" s="464">
        <f t="shared" ref="I49:I66" si="4">G49*E49</f>
        <v>198080</v>
      </c>
      <c r="J49" s="464">
        <f t="shared" si="1"/>
        <v>693280</v>
      </c>
      <c r="K49" s="297" t="s">
        <v>620</v>
      </c>
      <c r="L49" s="763"/>
    </row>
    <row r="50" spans="1:12" s="197" customFormat="1" hidden="1" outlineLevel="3" x14ac:dyDescent="0.25">
      <c r="A50" s="245" t="s">
        <v>778</v>
      </c>
      <c r="B50" s="249"/>
      <c r="C50" s="193" t="s">
        <v>182</v>
      </c>
      <c r="D50" s="177" t="s">
        <v>45</v>
      </c>
      <c r="E50" s="363" t="s">
        <v>46</v>
      </c>
      <c r="F50" s="444">
        <v>123800</v>
      </c>
      <c r="G50" s="491">
        <v>0</v>
      </c>
      <c r="H50" s="464">
        <f>F51*E50</f>
        <v>0</v>
      </c>
      <c r="I50" s="464">
        <f t="shared" si="4"/>
        <v>0</v>
      </c>
      <c r="J50" s="464">
        <f t="shared" si="1"/>
        <v>0</v>
      </c>
      <c r="K50" s="297" t="s">
        <v>620</v>
      </c>
      <c r="L50" s="764"/>
    </row>
    <row r="51" spans="1:12" s="257" customFormat="1" hidden="1" outlineLevel="1" x14ac:dyDescent="0.25">
      <c r="A51" s="245" t="s">
        <v>779</v>
      </c>
      <c r="B51" s="245" t="s">
        <v>315</v>
      </c>
      <c r="C51" s="179" t="s">
        <v>748</v>
      </c>
      <c r="D51" s="517" t="s">
        <v>60</v>
      </c>
      <c r="E51" s="517" t="s">
        <v>141</v>
      </c>
      <c r="F51" s="444">
        <v>0</v>
      </c>
      <c r="G51" s="491">
        <v>824</v>
      </c>
      <c r="H51" s="464">
        <f t="shared" ref="H51:H71" si="5">F51*E51</f>
        <v>0</v>
      </c>
      <c r="I51" s="464">
        <f t="shared" si="4"/>
        <v>223304</v>
      </c>
      <c r="J51" s="464">
        <f t="shared" si="1"/>
        <v>223304</v>
      </c>
      <c r="K51" s="297"/>
      <c r="L51" s="367"/>
    </row>
    <row r="52" spans="1:12" s="197" customFormat="1" ht="35.25" hidden="1" customHeight="1" outlineLevel="2" x14ac:dyDescent="0.25">
      <c r="A52" s="245" t="s">
        <v>780</v>
      </c>
      <c r="B52" s="249"/>
      <c r="C52" s="193" t="s">
        <v>1208</v>
      </c>
      <c r="D52" s="363" t="s">
        <v>295</v>
      </c>
      <c r="E52" s="363">
        <v>2.27</v>
      </c>
      <c r="F52" s="444">
        <v>50930</v>
      </c>
      <c r="G52" s="491">
        <v>0</v>
      </c>
      <c r="H52" s="464">
        <f t="shared" si="5"/>
        <v>115611.1</v>
      </c>
      <c r="I52" s="464">
        <f t="shared" si="4"/>
        <v>0</v>
      </c>
      <c r="J52" s="464">
        <f t="shared" si="1"/>
        <v>115611.1</v>
      </c>
      <c r="K52" s="299"/>
      <c r="L52" s="367"/>
    </row>
    <row r="53" spans="1:12" s="257" customFormat="1" hidden="1" outlineLevel="2" x14ac:dyDescent="0.25">
      <c r="A53" s="245" t="s">
        <v>781</v>
      </c>
      <c r="B53" s="245"/>
      <c r="C53" s="179" t="s">
        <v>752</v>
      </c>
      <c r="D53" s="517" t="s">
        <v>60</v>
      </c>
      <c r="E53" s="517" t="s">
        <v>146</v>
      </c>
      <c r="F53" s="444">
        <v>0</v>
      </c>
      <c r="G53" s="491">
        <v>896</v>
      </c>
      <c r="H53" s="464">
        <f t="shared" si="5"/>
        <v>0</v>
      </c>
      <c r="I53" s="464">
        <f t="shared" si="4"/>
        <v>28672</v>
      </c>
      <c r="J53" s="464">
        <f t="shared" si="1"/>
        <v>28672</v>
      </c>
      <c r="K53" s="297"/>
      <c r="L53" s="367"/>
    </row>
    <row r="54" spans="1:12" s="197" customFormat="1" ht="27.75" hidden="1" customHeight="1" outlineLevel="3" x14ac:dyDescent="0.25">
      <c r="A54" s="245" t="s">
        <v>146</v>
      </c>
      <c r="B54" s="249"/>
      <c r="C54" s="193" t="s">
        <v>1210</v>
      </c>
      <c r="D54" s="363" t="s">
        <v>295</v>
      </c>
      <c r="E54" s="363">
        <v>0.33</v>
      </c>
      <c r="F54" s="444">
        <v>59704</v>
      </c>
      <c r="G54" s="491">
        <v>0</v>
      </c>
      <c r="H54" s="464">
        <f t="shared" si="5"/>
        <v>19702.32</v>
      </c>
      <c r="I54" s="464">
        <f t="shared" si="4"/>
        <v>0</v>
      </c>
      <c r="J54" s="464">
        <f t="shared" si="1"/>
        <v>19702.32</v>
      </c>
      <c r="K54" s="299" t="s">
        <v>143</v>
      </c>
      <c r="L54" s="367"/>
    </row>
    <row r="55" spans="1:12" s="257" customFormat="1" hidden="1" outlineLevel="2" x14ac:dyDescent="0.25">
      <c r="A55" s="245" t="s">
        <v>782</v>
      </c>
      <c r="B55" s="245"/>
      <c r="C55" s="179" t="s">
        <v>749</v>
      </c>
      <c r="D55" s="2" t="s">
        <v>45</v>
      </c>
      <c r="E55" s="517" t="s">
        <v>6</v>
      </c>
      <c r="F55" s="464"/>
      <c r="G55" s="491">
        <v>3400</v>
      </c>
      <c r="H55" s="464">
        <f t="shared" si="5"/>
        <v>0</v>
      </c>
      <c r="I55" s="464">
        <f t="shared" si="4"/>
        <v>6800</v>
      </c>
      <c r="J55" s="464">
        <f t="shared" si="1"/>
        <v>6800</v>
      </c>
      <c r="K55" s="297"/>
      <c r="L55" s="367"/>
    </row>
    <row r="56" spans="1:12" s="197" customFormat="1" ht="25.5" hidden="1" customHeight="1" outlineLevel="3" x14ac:dyDescent="0.25">
      <c r="A56" s="245" t="s">
        <v>783</v>
      </c>
      <c r="B56" s="249"/>
      <c r="C56" s="193" t="s">
        <v>169</v>
      </c>
      <c r="D56" s="177" t="s">
        <v>45</v>
      </c>
      <c r="E56" s="363" t="s">
        <v>6</v>
      </c>
      <c r="F56" s="444">
        <v>8320</v>
      </c>
      <c r="G56" s="491">
        <v>0</v>
      </c>
      <c r="H56" s="464">
        <f t="shared" si="5"/>
        <v>16640</v>
      </c>
      <c r="I56" s="464">
        <f t="shared" si="4"/>
        <v>0</v>
      </c>
      <c r="J56" s="464">
        <f t="shared" si="1"/>
        <v>16640</v>
      </c>
      <c r="K56" s="299"/>
      <c r="L56" s="367"/>
    </row>
    <row r="57" spans="1:12" s="257" customFormat="1" hidden="1" outlineLevel="2" x14ac:dyDescent="0.25">
      <c r="A57" s="245" t="s">
        <v>784</v>
      </c>
      <c r="B57" s="245"/>
      <c r="C57" s="179" t="s">
        <v>750</v>
      </c>
      <c r="D57" s="2" t="s">
        <v>45</v>
      </c>
      <c r="E57" s="517" t="s">
        <v>46</v>
      </c>
      <c r="F57" s="464"/>
      <c r="G57" s="491">
        <v>1060</v>
      </c>
      <c r="H57" s="464">
        <f t="shared" si="5"/>
        <v>0</v>
      </c>
      <c r="I57" s="464">
        <f t="shared" si="4"/>
        <v>4240</v>
      </c>
      <c r="J57" s="464">
        <f t="shared" si="1"/>
        <v>4240</v>
      </c>
      <c r="K57" s="297"/>
      <c r="L57" s="367"/>
    </row>
    <row r="58" spans="1:12" s="197" customFormat="1" ht="21" hidden="1" customHeight="1" outlineLevel="3" x14ac:dyDescent="0.25">
      <c r="A58" s="245" t="s">
        <v>785</v>
      </c>
      <c r="B58" s="249"/>
      <c r="C58" s="193" t="s">
        <v>84</v>
      </c>
      <c r="D58" s="177" t="s">
        <v>45</v>
      </c>
      <c r="E58" s="363" t="s">
        <v>46</v>
      </c>
      <c r="F58" s="461">
        <v>1045</v>
      </c>
      <c r="G58" s="491">
        <v>0</v>
      </c>
      <c r="H58" s="464">
        <f t="shared" si="5"/>
        <v>4180</v>
      </c>
      <c r="I58" s="464">
        <f t="shared" si="4"/>
        <v>0</v>
      </c>
      <c r="J58" s="464">
        <f t="shared" si="1"/>
        <v>4180</v>
      </c>
      <c r="K58" s="299"/>
      <c r="L58" s="367"/>
    </row>
    <row r="59" spans="1:12" s="257" customFormat="1" ht="23.25" hidden="1" customHeight="1" outlineLevel="2" x14ac:dyDescent="0.25">
      <c r="A59" s="245" t="s">
        <v>786</v>
      </c>
      <c r="B59" s="245"/>
      <c r="C59" s="179" t="s">
        <v>1211</v>
      </c>
      <c r="D59" s="517" t="s">
        <v>60</v>
      </c>
      <c r="E59" s="517">
        <v>18</v>
      </c>
      <c r="F59" s="464"/>
      <c r="G59" s="491">
        <v>1360</v>
      </c>
      <c r="H59" s="464">
        <f t="shared" si="5"/>
        <v>0</v>
      </c>
      <c r="I59" s="464">
        <f t="shared" si="4"/>
        <v>24480</v>
      </c>
      <c r="J59" s="464">
        <f t="shared" si="1"/>
        <v>24480</v>
      </c>
      <c r="K59" s="297"/>
      <c r="L59" s="367"/>
    </row>
    <row r="60" spans="1:12" s="197" customFormat="1" ht="27.75" hidden="1" customHeight="1" outlineLevel="3" x14ac:dyDescent="0.25">
      <c r="A60" s="245" t="s">
        <v>51</v>
      </c>
      <c r="B60" s="249"/>
      <c r="C60" s="193" t="s">
        <v>1209</v>
      </c>
      <c r="D60" s="363" t="s">
        <v>295</v>
      </c>
      <c r="E60" s="363">
        <v>0.48</v>
      </c>
      <c r="F60" s="444">
        <v>76561</v>
      </c>
      <c r="G60" s="491">
        <v>0</v>
      </c>
      <c r="H60" s="464">
        <f t="shared" si="5"/>
        <v>36749.279999999999</v>
      </c>
      <c r="I60" s="464">
        <f t="shared" si="4"/>
        <v>0</v>
      </c>
      <c r="J60" s="464">
        <f t="shared" si="1"/>
        <v>36749.279999999999</v>
      </c>
      <c r="K60" s="299" t="s">
        <v>198</v>
      </c>
      <c r="L60" s="367"/>
    </row>
    <row r="61" spans="1:12" s="257" customFormat="1" ht="18.75" hidden="1" customHeight="1" outlineLevel="2" x14ac:dyDescent="0.25">
      <c r="A61" s="245" t="s">
        <v>787</v>
      </c>
      <c r="B61" s="245"/>
      <c r="C61" s="179" t="s">
        <v>202</v>
      </c>
      <c r="D61" s="517" t="s">
        <v>54</v>
      </c>
      <c r="E61" s="517" t="s">
        <v>7</v>
      </c>
      <c r="F61" s="444">
        <v>0</v>
      </c>
      <c r="G61" s="491">
        <v>24963</v>
      </c>
      <c r="H61" s="464">
        <f t="shared" si="5"/>
        <v>0</v>
      </c>
      <c r="I61" s="464">
        <f t="shared" si="4"/>
        <v>24963</v>
      </c>
      <c r="J61" s="464">
        <f t="shared" si="1"/>
        <v>24963</v>
      </c>
      <c r="K61" s="297"/>
      <c r="L61" s="367"/>
    </row>
    <row r="62" spans="1:12" s="197" customFormat="1" ht="12.75" hidden="1" customHeight="1" outlineLevel="3" x14ac:dyDescent="0.25">
      <c r="A62" s="245" t="s">
        <v>788</v>
      </c>
      <c r="B62" s="249"/>
      <c r="C62" s="193" t="s">
        <v>202</v>
      </c>
      <c r="D62" s="177" t="s">
        <v>45</v>
      </c>
      <c r="E62" s="363" t="s">
        <v>7</v>
      </c>
      <c r="F62" s="444"/>
      <c r="G62" s="491">
        <v>18900</v>
      </c>
      <c r="H62" s="464">
        <f t="shared" si="5"/>
        <v>0</v>
      </c>
      <c r="I62" s="464">
        <f t="shared" si="4"/>
        <v>18900</v>
      </c>
      <c r="J62" s="464">
        <f t="shared" si="1"/>
        <v>18900</v>
      </c>
      <c r="K62" s="299"/>
      <c r="L62" s="367"/>
    </row>
    <row r="63" spans="1:12" s="257" customFormat="1" hidden="1" outlineLevel="2" x14ac:dyDescent="0.25">
      <c r="A63" s="245" t="s">
        <v>789</v>
      </c>
      <c r="B63" s="245"/>
      <c r="C63" s="179" t="s">
        <v>204</v>
      </c>
      <c r="D63" s="517" t="s">
        <v>54</v>
      </c>
      <c r="E63" s="517" t="s">
        <v>7</v>
      </c>
      <c r="F63" s="464"/>
      <c r="G63" s="491">
        <v>38800</v>
      </c>
      <c r="H63" s="464">
        <f t="shared" si="5"/>
        <v>0</v>
      </c>
      <c r="I63" s="464">
        <f t="shared" si="4"/>
        <v>38800</v>
      </c>
      <c r="J63" s="464">
        <f t="shared" si="1"/>
        <v>38800</v>
      </c>
      <c r="K63" s="297"/>
      <c r="L63" s="367"/>
    </row>
    <row r="64" spans="1:12" s="257" customFormat="1" hidden="1" outlineLevel="2" collapsed="1" x14ac:dyDescent="0.25">
      <c r="A64" s="245" t="s">
        <v>43</v>
      </c>
      <c r="B64" s="245"/>
      <c r="C64" s="179" t="s">
        <v>205</v>
      </c>
      <c r="D64" s="2" t="s">
        <v>573</v>
      </c>
      <c r="E64" s="517" t="s">
        <v>7</v>
      </c>
      <c r="F64" s="464"/>
      <c r="G64" s="491">
        <v>17360</v>
      </c>
      <c r="H64" s="464">
        <f t="shared" si="5"/>
        <v>0</v>
      </c>
      <c r="I64" s="464">
        <f t="shared" si="4"/>
        <v>17360</v>
      </c>
      <c r="J64" s="464">
        <f t="shared" si="1"/>
        <v>17360</v>
      </c>
      <c r="K64" s="297"/>
      <c r="L64" s="367"/>
    </row>
    <row r="65" spans="1:33" s="197" customFormat="1" ht="12.75" hidden="1" customHeight="1" outlineLevel="2" x14ac:dyDescent="0.25">
      <c r="A65" s="245" t="s">
        <v>790</v>
      </c>
      <c r="B65" s="249"/>
      <c r="C65" s="193" t="s">
        <v>205</v>
      </c>
      <c r="D65" s="177" t="s">
        <v>45</v>
      </c>
      <c r="E65" s="363" t="s">
        <v>7</v>
      </c>
      <c r="F65" s="444">
        <v>43254</v>
      </c>
      <c r="G65" s="491"/>
      <c r="H65" s="464">
        <f t="shared" si="5"/>
        <v>43254</v>
      </c>
      <c r="I65" s="464">
        <f t="shared" si="4"/>
        <v>0</v>
      </c>
      <c r="J65" s="464">
        <f t="shared" si="1"/>
        <v>43254</v>
      </c>
      <c r="K65" s="299"/>
      <c r="L65" s="367"/>
    </row>
    <row r="66" spans="1:33" s="257" customFormat="1" ht="25.5" hidden="1" outlineLevel="1" x14ac:dyDescent="0.25">
      <c r="A66" s="245" t="s">
        <v>791</v>
      </c>
      <c r="B66" s="245" t="s">
        <v>319</v>
      </c>
      <c r="C66" s="179" t="s">
        <v>1207</v>
      </c>
      <c r="D66" s="517" t="s">
        <v>89</v>
      </c>
      <c r="E66" s="517">
        <v>523.35</v>
      </c>
      <c r="F66" s="464"/>
      <c r="G66" s="491">
        <v>1360</v>
      </c>
      <c r="H66" s="464">
        <f t="shared" si="5"/>
        <v>0</v>
      </c>
      <c r="I66" s="464">
        <f t="shared" si="4"/>
        <v>711756</v>
      </c>
      <c r="J66" s="464">
        <f t="shared" si="1"/>
        <v>711756</v>
      </c>
      <c r="K66" s="297" t="s">
        <v>743</v>
      </c>
      <c r="L66" s="765" t="s">
        <v>643</v>
      </c>
    </row>
    <row r="67" spans="1:33" s="197" customFormat="1" hidden="1" outlineLevel="2" x14ac:dyDescent="0.25">
      <c r="A67" s="245" t="s">
        <v>792</v>
      </c>
      <c r="B67" s="249"/>
      <c r="C67" s="193" t="s">
        <v>86</v>
      </c>
      <c r="D67" s="363" t="s">
        <v>0</v>
      </c>
      <c r="E67" s="363" t="s">
        <v>187</v>
      </c>
      <c r="F67" s="464">
        <v>5009</v>
      </c>
      <c r="G67" s="491">
        <v>0</v>
      </c>
      <c r="H67" s="464">
        <f t="shared" si="5"/>
        <v>113203.4</v>
      </c>
      <c r="I67" s="464">
        <v>0</v>
      </c>
      <c r="J67" s="464">
        <f t="shared" si="1"/>
        <v>113203.4</v>
      </c>
      <c r="K67" s="299"/>
      <c r="L67" s="766"/>
    </row>
    <row r="68" spans="1:33" s="197" customFormat="1" hidden="1" outlineLevel="2" x14ac:dyDescent="0.25">
      <c r="A68" s="245" t="s">
        <v>793</v>
      </c>
      <c r="B68" s="249"/>
      <c r="C68" s="193" t="s">
        <v>88</v>
      </c>
      <c r="D68" s="363" t="s">
        <v>89</v>
      </c>
      <c r="E68" s="363" t="s">
        <v>188</v>
      </c>
      <c r="F68" s="464">
        <v>86</v>
      </c>
      <c r="G68" s="491">
        <v>0</v>
      </c>
      <c r="H68" s="464">
        <f t="shared" si="5"/>
        <v>58299.4</v>
      </c>
      <c r="I68" s="464">
        <v>0</v>
      </c>
      <c r="J68" s="464">
        <f t="shared" si="1"/>
        <v>58299.4</v>
      </c>
      <c r="K68" s="299"/>
      <c r="L68" s="766"/>
    </row>
    <row r="69" spans="1:33" s="197" customFormat="1" hidden="1" outlineLevel="2" x14ac:dyDescent="0.25">
      <c r="A69" s="245" t="s">
        <v>794</v>
      </c>
      <c r="B69" s="249"/>
      <c r="C69" s="193" t="s">
        <v>91</v>
      </c>
      <c r="D69" s="363" t="s">
        <v>92</v>
      </c>
      <c r="E69" s="363" t="s">
        <v>189</v>
      </c>
      <c r="F69" s="464">
        <v>38.9</v>
      </c>
      <c r="G69" s="491">
        <v>0</v>
      </c>
      <c r="H69" s="464">
        <f t="shared" si="5"/>
        <v>36733.269999999997</v>
      </c>
      <c r="I69" s="464">
        <v>0</v>
      </c>
      <c r="J69" s="464">
        <f t="shared" si="1"/>
        <v>36733.269999999997</v>
      </c>
      <c r="K69" s="299"/>
      <c r="L69" s="766"/>
    </row>
    <row r="70" spans="1:33" s="197" customFormat="1" hidden="1" outlineLevel="2" x14ac:dyDescent="0.25">
      <c r="A70" s="245" t="s">
        <v>795</v>
      </c>
      <c r="B70" s="249"/>
      <c r="C70" s="193" t="s">
        <v>94</v>
      </c>
      <c r="D70" s="363" t="s">
        <v>89</v>
      </c>
      <c r="E70" s="363" t="s">
        <v>190</v>
      </c>
      <c r="F70" s="464">
        <v>90</v>
      </c>
      <c r="G70" s="491">
        <v>0</v>
      </c>
      <c r="H70" s="464">
        <f t="shared" si="5"/>
        <v>51237</v>
      </c>
      <c r="I70" s="464">
        <v>0</v>
      </c>
      <c r="J70" s="464">
        <f t="shared" si="1"/>
        <v>51237</v>
      </c>
      <c r="K70" s="299"/>
      <c r="L70" s="766"/>
    </row>
    <row r="71" spans="1:33" s="197" customFormat="1" hidden="1" outlineLevel="2" x14ac:dyDescent="0.25">
      <c r="A71" s="245" t="s">
        <v>796</v>
      </c>
      <c r="B71" s="249"/>
      <c r="C71" s="193" t="s">
        <v>664</v>
      </c>
      <c r="D71" s="363" t="s">
        <v>92</v>
      </c>
      <c r="E71" s="363" t="s">
        <v>192</v>
      </c>
      <c r="F71" s="444">
        <v>84.6</v>
      </c>
      <c r="G71" s="491">
        <v>0</v>
      </c>
      <c r="H71" s="464">
        <f t="shared" si="5"/>
        <v>5084.46</v>
      </c>
      <c r="I71" s="464">
        <v>0</v>
      </c>
      <c r="J71" s="464">
        <f t="shared" si="1"/>
        <v>5084.46</v>
      </c>
      <c r="K71" s="299"/>
      <c r="L71" s="767"/>
    </row>
    <row r="72" spans="1:33" s="341" customFormat="1" ht="45.75" customHeight="1" collapsed="1" x14ac:dyDescent="0.25">
      <c r="A72" s="245" t="s">
        <v>797</v>
      </c>
      <c r="B72" s="379" t="s">
        <v>98</v>
      </c>
      <c r="C72" s="376" t="s">
        <v>675</v>
      </c>
      <c r="D72" s="395" t="s">
        <v>0</v>
      </c>
      <c r="E72" s="430">
        <f>SUM(E73:E74)</f>
        <v>17595</v>
      </c>
      <c r="F72" s="476"/>
      <c r="G72" s="500"/>
      <c r="H72" s="476"/>
      <c r="I72" s="476">
        <f t="shared" ref="I72:I77" si="6">G72*E72</f>
        <v>0</v>
      </c>
      <c r="J72" s="476">
        <f t="shared" si="1"/>
        <v>0</v>
      </c>
      <c r="K72" s="432"/>
      <c r="L72" s="28"/>
    </row>
    <row r="73" spans="1:33" s="341" customFormat="1" ht="40.5" hidden="1" customHeight="1" outlineLevel="1" x14ac:dyDescent="0.25">
      <c r="A73" s="245" t="s">
        <v>798</v>
      </c>
      <c r="B73" s="245" t="s">
        <v>16</v>
      </c>
      <c r="C73" s="339" t="s">
        <v>677</v>
      </c>
      <c r="D73" s="57" t="s">
        <v>0</v>
      </c>
      <c r="E73" s="343">
        <v>17001</v>
      </c>
      <c r="F73" s="481"/>
      <c r="G73" s="491">
        <v>900</v>
      </c>
      <c r="H73" s="464">
        <f>F73*E73</f>
        <v>0</v>
      </c>
      <c r="I73" s="464">
        <f t="shared" si="6"/>
        <v>15300900</v>
      </c>
      <c r="J73" s="464">
        <f t="shared" si="1"/>
        <v>15300900</v>
      </c>
      <c r="K73" s="342"/>
      <c r="L73" s="342"/>
    </row>
    <row r="74" spans="1:33" s="347" customFormat="1" ht="21" hidden="1" customHeight="1" outlineLevel="1" x14ac:dyDescent="0.25">
      <c r="A74" s="245" t="s">
        <v>799</v>
      </c>
      <c r="B74" s="245" t="s">
        <v>17</v>
      </c>
      <c r="C74" s="339" t="s">
        <v>25</v>
      </c>
      <c r="D74" s="2" t="s">
        <v>0</v>
      </c>
      <c r="E74" s="340">
        <v>594</v>
      </c>
      <c r="F74" s="482"/>
      <c r="G74" s="491">
        <v>3000</v>
      </c>
      <c r="H74" s="464">
        <f>F74*E74</f>
        <v>0</v>
      </c>
      <c r="I74" s="464">
        <f t="shared" si="6"/>
        <v>1782000</v>
      </c>
      <c r="J74" s="464">
        <f t="shared" si="1"/>
        <v>1782000</v>
      </c>
      <c r="K74" s="346"/>
      <c r="L74" s="2"/>
    </row>
    <row r="75" spans="1:33" ht="38.25" collapsed="1" x14ac:dyDescent="0.25">
      <c r="A75" s="245" t="s">
        <v>800</v>
      </c>
      <c r="B75" s="397" t="s">
        <v>46</v>
      </c>
      <c r="C75" s="440" t="s">
        <v>63</v>
      </c>
      <c r="D75" s="401" t="s">
        <v>60</v>
      </c>
      <c r="E75" s="441">
        <v>265</v>
      </c>
      <c r="F75" s="446"/>
      <c r="G75" s="501"/>
      <c r="H75" s="446"/>
      <c r="I75" s="446">
        <f t="shared" si="6"/>
        <v>0</v>
      </c>
      <c r="J75" s="446">
        <f t="shared" si="1"/>
        <v>0</v>
      </c>
      <c r="K75" s="385" t="s">
        <v>691</v>
      </c>
      <c r="L75" s="768" t="s">
        <v>143</v>
      </c>
    </row>
    <row r="76" spans="1:33" s="197" customFormat="1" ht="36" hidden="1" customHeight="1" outlineLevel="1" x14ac:dyDescent="0.25">
      <c r="A76" s="245" t="s">
        <v>801</v>
      </c>
      <c r="B76" s="192"/>
      <c r="C76" s="193" t="s">
        <v>1287</v>
      </c>
      <c r="D76" s="363" t="s">
        <v>295</v>
      </c>
      <c r="E76" s="195">
        <v>2.2000000000000002</v>
      </c>
      <c r="F76" s="464">
        <v>50930</v>
      </c>
      <c r="G76" s="491">
        <v>20372</v>
      </c>
      <c r="H76" s="464">
        <f>F76*E76</f>
        <v>112046</v>
      </c>
      <c r="I76" s="464">
        <f t="shared" si="6"/>
        <v>44818.400000000001</v>
      </c>
      <c r="J76" s="464">
        <f t="shared" si="1"/>
        <v>156864.4</v>
      </c>
      <c r="K76" s="193"/>
      <c r="L76" s="769"/>
    </row>
    <row r="77" spans="1:33" s="426" customFormat="1" ht="25.5" collapsed="1" x14ac:dyDescent="0.25">
      <c r="A77" s="245" t="s">
        <v>802</v>
      </c>
      <c r="B77" s="397" t="s">
        <v>74</v>
      </c>
      <c r="C77" s="440" t="s">
        <v>1204</v>
      </c>
      <c r="D77" s="401" t="s">
        <v>89</v>
      </c>
      <c r="E77" s="441">
        <v>159</v>
      </c>
      <c r="F77" s="446"/>
      <c r="G77" s="501">
        <v>1360</v>
      </c>
      <c r="H77" s="446"/>
      <c r="I77" s="446">
        <f t="shared" si="6"/>
        <v>216240</v>
      </c>
      <c r="J77" s="446">
        <f t="shared" si="1"/>
        <v>216240</v>
      </c>
      <c r="K77" s="385"/>
      <c r="L77" s="770" t="s">
        <v>643</v>
      </c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425"/>
      <c r="AE77" s="425"/>
      <c r="AF77" s="425"/>
      <c r="AG77" s="425"/>
    </row>
    <row r="78" spans="1:33" s="197" customFormat="1" hidden="1" outlineLevel="1" x14ac:dyDescent="0.25">
      <c r="A78" s="245" t="s">
        <v>803</v>
      </c>
      <c r="B78" s="192"/>
      <c r="C78" s="193" t="s">
        <v>86</v>
      </c>
      <c r="D78" s="363" t="s">
        <v>0</v>
      </c>
      <c r="E78" s="195" t="s">
        <v>87</v>
      </c>
      <c r="F78" s="444">
        <v>5009</v>
      </c>
      <c r="G78" s="491">
        <v>0</v>
      </c>
      <c r="H78" s="464">
        <f t="shared" ref="H78:H84" si="7">F78*E78</f>
        <v>35063</v>
      </c>
      <c r="I78" s="464">
        <v>0</v>
      </c>
      <c r="J78" s="464">
        <f t="shared" si="1"/>
        <v>35063</v>
      </c>
      <c r="K78" s="193"/>
      <c r="L78" s="770"/>
    </row>
    <row r="79" spans="1:33" s="197" customFormat="1" hidden="1" outlineLevel="1" x14ac:dyDescent="0.25">
      <c r="A79" s="245" t="s">
        <v>804</v>
      </c>
      <c r="B79" s="192"/>
      <c r="C79" s="193" t="s">
        <v>88</v>
      </c>
      <c r="D79" s="363" t="s">
        <v>89</v>
      </c>
      <c r="E79" s="195" t="s">
        <v>90</v>
      </c>
      <c r="F79" s="444">
        <v>86</v>
      </c>
      <c r="G79" s="491">
        <v>0</v>
      </c>
      <c r="H79" s="464">
        <f t="shared" si="7"/>
        <v>17681.599999999999</v>
      </c>
      <c r="I79" s="464">
        <v>0</v>
      </c>
      <c r="J79" s="464">
        <f t="shared" si="1"/>
        <v>17681.599999999999</v>
      </c>
      <c r="K79" s="193"/>
      <c r="L79" s="770"/>
    </row>
    <row r="80" spans="1:33" s="197" customFormat="1" hidden="1" outlineLevel="1" x14ac:dyDescent="0.25">
      <c r="A80" s="245" t="s">
        <v>805</v>
      </c>
      <c r="B80" s="192"/>
      <c r="C80" s="193" t="s">
        <v>91</v>
      </c>
      <c r="D80" s="363" t="s">
        <v>92</v>
      </c>
      <c r="E80" s="195" t="s">
        <v>93</v>
      </c>
      <c r="F80" s="444">
        <v>38.9</v>
      </c>
      <c r="G80" s="491">
        <v>0</v>
      </c>
      <c r="H80" s="464">
        <f t="shared" si="7"/>
        <v>11133.18</v>
      </c>
      <c r="I80" s="464">
        <v>0</v>
      </c>
      <c r="J80" s="464">
        <f t="shared" si="1"/>
        <v>11133.18</v>
      </c>
      <c r="K80" s="193"/>
      <c r="L80" s="770"/>
    </row>
    <row r="81" spans="1:12" s="197" customFormat="1" hidden="1" outlineLevel="1" x14ac:dyDescent="0.25">
      <c r="A81" s="245" t="s">
        <v>806</v>
      </c>
      <c r="B81" s="192"/>
      <c r="C81" s="193" t="s">
        <v>94</v>
      </c>
      <c r="D81" s="363" t="s">
        <v>89</v>
      </c>
      <c r="E81" s="195" t="s">
        <v>95</v>
      </c>
      <c r="F81" s="444">
        <v>90</v>
      </c>
      <c r="G81" s="491">
        <v>0</v>
      </c>
      <c r="H81" s="464">
        <f t="shared" si="7"/>
        <v>15525</v>
      </c>
      <c r="I81" s="464">
        <v>0</v>
      </c>
      <c r="J81" s="464">
        <f t="shared" si="1"/>
        <v>15525</v>
      </c>
      <c r="K81" s="193"/>
      <c r="L81" s="770"/>
    </row>
    <row r="82" spans="1:12" s="197" customFormat="1" hidden="1" outlineLevel="1" x14ac:dyDescent="0.25">
      <c r="A82" s="245" t="s">
        <v>807</v>
      </c>
      <c r="B82" s="192"/>
      <c r="C82" s="193" t="s">
        <v>96</v>
      </c>
      <c r="D82" s="363" t="s">
        <v>92</v>
      </c>
      <c r="E82" s="195" t="s">
        <v>97</v>
      </c>
      <c r="F82" s="444">
        <v>84.6</v>
      </c>
      <c r="G82" s="491">
        <v>0</v>
      </c>
      <c r="H82" s="464">
        <f t="shared" si="7"/>
        <v>1548.18</v>
      </c>
      <c r="I82" s="464">
        <v>0</v>
      </c>
      <c r="J82" s="464">
        <f t="shared" si="1"/>
        <v>1548.18</v>
      </c>
      <c r="K82" s="193"/>
      <c r="L82" s="770"/>
    </row>
    <row r="83" spans="1:12" ht="39.75" hidden="1" customHeight="1" outlineLevel="1" x14ac:dyDescent="0.25">
      <c r="A83" s="245" t="s">
        <v>808</v>
      </c>
      <c r="B83" s="253"/>
      <c r="C83" s="179" t="s">
        <v>1289</v>
      </c>
      <c r="D83" s="517" t="s">
        <v>0</v>
      </c>
      <c r="E83" s="255">
        <v>34</v>
      </c>
      <c r="F83" s="464"/>
      <c r="G83" s="491">
        <v>1900</v>
      </c>
      <c r="H83" s="464">
        <f t="shared" si="7"/>
        <v>0</v>
      </c>
      <c r="I83" s="464">
        <f>G83*E83</f>
        <v>64600</v>
      </c>
      <c r="J83" s="464">
        <f t="shared" si="1"/>
        <v>64600</v>
      </c>
      <c r="K83" s="179"/>
      <c r="L83" s="360"/>
    </row>
    <row r="84" spans="1:12" s="197" customFormat="1" hidden="1" outlineLevel="1" x14ac:dyDescent="0.25">
      <c r="A84" s="245" t="s">
        <v>809</v>
      </c>
      <c r="B84" s="192"/>
      <c r="C84" s="193" t="s">
        <v>81</v>
      </c>
      <c r="D84" s="363" t="s">
        <v>0</v>
      </c>
      <c r="E84" s="195">
        <v>34</v>
      </c>
      <c r="F84" s="444">
        <v>2800</v>
      </c>
      <c r="G84" s="491">
        <v>0</v>
      </c>
      <c r="H84" s="464">
        <f t="shared" si="7"/>
        <v>95200</v>
      </c>
      <c r="I84" s="464">
        <f>G84*E84</f>
        <v>0</v>
      </c>
      <c r="J84" s="464">
        <f t="shared" si="1"/>
        <v>95200</v>
      </c>
      <c r="K84" s="193"/>
      <c r="L84" s="360"/>
    </row>
    <row r="85" spans="1:12" collapsed="1" x14ac:dyDescent="0.25">
      <c r="A85" s="245" t="s">
        <v>810</v>
      </c>
      <c r="B85" s="379" t="s">
        <v>582</v>
      </c>
      <c r="C85" s="376" t="s">
        <v>744</v>
      </c>
      <c r="D85" s="395" t="s">
        <v>60</v>
      </c>
      <c r="E85" s="395">
        <v>389</v>
      </c>
      <c r="F85" s="415"/>
      <c r="G85" s="502"/>
      <c r="H85" s="416"/>
      <c r="I85" s="416">
        <f>G85*E85</f>
        <v>0</v>
      </c>
      <c r="J85" s="416">
        <f t="shared" si="1"/>
        <v>0</v>
      </c>
      <c r="K85" s="433"/>
      <c r="L85" s="14"/>
    </row>
    <row r="86" spans="1:12" ht="39" hidden="1" customHeight="1" outlineLevel="1" x14ac:dyDescent="0.25">
      <c r="A86" s="245" t="s">
        <v>811</v>
      </c>
      <c r="B86" s="59" t="s">
        <v>755</v>
      </c>
      <c r="C86" s="56" t="s">
        <v>745</v>
      </c>
      <c r="D86" s="57" t="s">
        <v>0</v>
      </c>
      <c r="E86" s="60">
        <v>42</v>
      </c>
      <c r="F86" s="483"/>
      <c r="G86" s="491">
        <v>900</v>
      </c>
      <c r="H86" s="464">
        <f t="shared" ref="H86:H98" si="8">F86*E86</f>
        <v>0</v>
      </c>
      <c r="I86" s="464">
        <f>G86*E86</f>
        <v>37800</v>
      </c>
      <c r="J86" s="464">
        <f t="shared" si="1"/>
        <v>37800</v>
      </c>
      <c r="K86" s="210"/>
      <c r="L86" s="14"/>
    </row>
    <row r="87" spans="1:12" s="257" customFormat="1" hidden="1" outlineLevel="1" x14ac:dyDescent="0.25">
      <c r="A87" s="245" t="s">
        <v>812</v>
      </c>
      <c r="B87" s="253" t="s">
        <v>756</v>
      </c>
      <c r="C87" s="179" t="s">
        <v>49</v>
      </c>
      <c r="D87" s="2" t="s">
        <v>45</v>
      </c>
      <c r="E87" s="255" t="s">
        <v>46</v>
      </c>
      <c r="F87" s="464"/>
      <c r="G87" s="491">
        <v>12733</v>
      </c>
      <c r="H87" s="464">
        <f t="shared" si="8"/>
        <v>0</v>
      </c>
      <c r="I87" s="464">
        <f>G86*E87</f>
        <v>3600</v>
      </c>
      <c r="J87" s="464">
        <f t="shared" si="1"/>
        <v>3600</v>
      </c>
      <c r="K87" s="297"/>
      <c r="L87" s="360"/>
    </row>
    <row r="88" spans="1:12" s="197" customFormat="1" ht="25.5" hidden="1" outlineLevel="2" x14ac:dyDescent="0.25">
      <c r="A88" s="245" t="s">
        <v>813</v>
      </c>
      <c r="B88" s="192"/>
      <c r="C88" s="193" t="s">
        <v>1288</v>
      </c>
      <c r="D88" s="363" t="s">
        <v>295</v>
      </c>
      <c r="E88" s="195">
        <v>1.2</v>
      </c>
      <c r="F88" s="444">
        <v>50930</v>
      </c>
      <c r="G88" s="491">
        <v>0</v>
      </c>
      <c r="H88" s="464">
        <f t="shared" si="8"/>
        <v>61116</v>
      </c>
      <c r="I88" s="464">
        <f>G87*E88</f>
        <v>15279.6</v>
      </c>
      <c r="J88" s="464">
        <f t="shared" ref="J88:J129" si="9">H88+I88</f>
        <v>76395.600000000006</v>
      </c>
      <c r="K88" s="299" t="s">
        <v>79</v>
      </c>
      <c r="L88" s="367"/>
    </row>
    <row r="89" spans="1:12" s="257" customFormat="1" hidden="1" outlineLevel="2" x14ac:dyDescent="0.25">
      <c r="A89" s="245" t="s">
        <v>814</v>
      </c>
      <c r="B89" s="253"/>
      <c r="C89" s="179" t="s">
        <v>50</v>
      </c>
      <c r="D89" s="517" t="s">
        <v>0</v>
      </c>
      <c r="E89" s="255" t="s">
        <v>51</v>
      </c>
      <c r="F89" s="464"/>
      <c r="G89" s="491">
        <v>1900</v>
      </c>
      <c r="H89" s="464">
        <f t="shared" si="8"/>
        <v>0</v>
      </c>
      <c r="I89" s="464">
        <f t="shared" ref="I89:I120" si="10">G89*E89</f>
        <v>72200</v>
      </c>
      <c r="J89" s="464">
        <f t="shared" si="9"/>
        <v>72200</v>
      </c>
      <c r="K89" s="297"/>
      <c r="L89" s="360"/>
    </row>
    <row r="90" spans="1:12" s="197" customFormat="1" hidden="1" outlineLevel="2" x14ac:dyDescent="0.25">
      <c r="A90" s="245" t="s">
        <v>178</v>
      </c>
      <c r="B90" s="192"/>
      <c r="C90" s="193" t="s">
        <v>81</v>
      </c>
      <c r="D90" s="363" t="s">
        <v>0</v>
      </c>
      <c r="E90" s="195">
        <v>38</v>
      </c>
      <c r="F90" s="444">
        <v>2800</v>
      </c>
      <c r="G90" s="491">
        <v>0</v>
      </c>
      <c r="H90" s="464">
        <f t="shared" si="8"/>
        <v>106400</v>
      </c>
      <c r="I90" s="464">
        <f t="shared" si="10"/>
        <v>0</v>
      </c>
      <c r="J90" s="464">
        <f t="shared" si="9"/>
        <v>106400</v>
      </c>
      <c r="K90" s="196"/>
      <c r="L90" s="196"/>
    </row>
    <row r="91" spans="1:12" s="257" customFormat="1" ht="21" hidden="1" customHeight="1" outlineLevel="1" x14ac:dyDescent="0.25">
      <c r="A91" s="245" t="s">
        <v>815</v>
      </c>
      <c r="B91" s="253" t="s">
        <v>757</v>
      </c>
      <c r="C91" s="179" t="s">
        <v>52</v>
      </c>
      <c r="D91" s="2" t="s">
        <v>45</v>
      </c>
      <c r="E91" s="255" t="s">
        <v>46</v>
      </c>
      <c r="F91" s="464"/>
      <c r="G91" s="491">
        <v>22650</v>
      </c>
      <c r="H91" s="464">
        <f t="shared" si="8"/>
        <v>0</v>
      </c>
      <c r="I91" s="464">
        <f t="shared" si="10"/>
        <v>90600</v>
      </c>
      <c r="J91" s="464">
        <f t="shared" si="9"/>
        <v>90600</v>
      </c>
      <c r="K91" s="297"/>
      <c r="L91" s="360"/>
    </row>
    <row r="92" spans="1:12" s="197" customFormat="1" ht="25.5" hidden="1" outlineLevel="2" x14ac:dyDescent="0.25">
      <c r="A92" s="245" t="s">
        <v>816</v>
      </c>
      <c r="B92" s="192"/>
      <c r="C92" s="193" t="s">
        <v>73</v>
      </c>
      <c r="D92" s="177" t="s">
        <v>45</v>
      </c>
      <c r="E92" s="195" t="s">
        <v>74</v>
      </c>
      <c r="F92" s="444">
        <v>30200</v>
      </c>
      <c r="G92" s="491">
        <v>0</v>
      </c>
      <c r="H92" s="464">
        <f t="shared" si="8"/>
        <v>151000</v>
      </c>
      <c r="I92" s="464">
        <f t="shared" si="10"/>
        <v>0</v>
      </c>
      <c r="J92" s="464">
        <f t="shared" si="9"/>
        <v>151000</v>
      </c>
      <c r="K92" s="299" t="s">
        <v>118</v>
      </c>
      <c r="L92" s="367"/>
    </row>
    <row r="93" spans="1:12" s="257" customFormat="1" ht="22.5" hidden="1" customHeight="1" outlineLevel="2" x14ac:dyDescent="0.25">
      <c r="A93" s="245" t="s">
        <v>515</v>
      </c>
      <c r="B93" s="253"/>
      <c r="C93" s="179" t="s">
        <v>753</v>
      </c>
      <c r="D93" s="175" t="s">
        <v>1214</v>
      </c>
      <c r="E93" s="255" t="s">
        <v>7</v>
      </c>
      <c r="F93" s="464">
        <v>1800</v>
      </c>
      <c r="G93" s="491">
        <v>450</v>
      </c>
      <c r="H93" s="464">
        <f t="shared" si="8"/>
        <v>1800</v>
      </c>
      <c r="I93" s="464">
        <f t="shared" si="10"/>
        <v>450</v>
      </c>
      <c r="J93" s="464">
        <f t="shared" si="9"/>
        <v>2250</v>
      </c>
      <c r="K93" s="297"/>
      <c r="L93" s="360"/>
    </row>
    <row r="94" spans="1:12" s="257" customFormat="1" ht="47.25" hidden="1" customHeight="1" outlineLevel="1" collapsed="1" x14ac:dyDescent="0.25">
      <c r="A94" s="245" t="s">
        <v>817</v>
      </c>
      <c r="B94" s="253" t="s">
        <v>758</v>
      </c>
      <c r="C94" s="179" t="s">
        <v>1213</v>
      </c>
      <c r="D94" s="517" t="s">
        <v>0</v>
      </c>
      <c r="E94" s="255">
        <v>253</v>
      </c>
      <c r="F94" s="464"/>
      <c r="G94" s="491">
        <v>900</v>
      </c>
      <c r="H94" s="464">
        <f t="shared" si="8"/>
        <v>0</v>
      </c>
      <c r="I94" s="464">
        <f t="shared" si="10"/>
        <v>227700</v>
      </c>
      <c r="J94" s="464">
        <f t="shared" si="9"/>
        <v>227700</v>
      </c>
      <c r="K94" s="297"/>
      <c r="L94" s="360"/>
    </row>
    <row r="95" spans="1:12" s="257" customFormat="1" ht="25.5" hidden="1" outlineLevel="1" x14ac:dyDescent="0.25">
      <c r="A95" s="245" t="s">
        <v>818</v>
      </c>
      <c r="B95" s="253"/>
      <c r="C95" s="179" t="s">
        <v>59</v>
      </c>
      <c r="D95" s="517" t="s">
        <v>60</v>
      </c>
      <c r="E95" s="255" t="s">
        <v>61</v>
      </c>
      <c r="F95" s="464">
        <v>0</v>
      </c>
      <c r="G95" s="491">
        <v>325</v>
      </c>
      <c r="H95" s="464">
        <f t="shared" si="8"/>
        <v>0</v>
      </c>
      <c r="I95" s="464">
        <f t="shared" si="10"/>
        <v>32500</v>
      </c>
      <c r="J95" s="464">
        <f t="shared" si="9"/>
        <v>32500</v>
      </c>
      <c r="K95" s="297" t="s">
        <v>759</v>
      </c>
      <c r="L95" s="360"/>
    </row>
    <row r="96" spans="1:12" s="197" customFormat="1" hidden="1" outlineLevel="2" x14ac:dyDescent="0.25">
      <c r="A96" s="245" t="s">
        <v>819</v>
      </c>
      <c r="B96" s="192"/>
      <c r="C96" s="193" t="s">
        <v>80</v>
      </c>
      <c r="D96" s="363" t="s">
        <v>60</v>
      </c>
      <c r="E96" s="195" t="s">
        <v>61</v>
      </c>
      <c r="F96" s="444">
        <v>210</v>
      </c>
      <c r="G96" s="491">
        <v>0</v>
      </c>
      <c r="H96" s="464">
        <f t="shared" si="8"/>
        <v>21000</v>
      </c>
      <c r="I96" s="464">
        <f t="shared" si="10"/>
        <v>0</v>
      </c>
      <c r="J96" s="464">
        <f t="shared" si="9"/>
        <v>21000</v>
      </c>
      <c r="K96" s="299"/>
      <c r="L96" s="367"/>
    </row>
    <row r="97" spans="1:33" s="257" customFormat="1" ht="18.75" hidden="1" customHeight="1" outlineLevel="1" x14ac:dyDescent="0.25">
      <c r="A97" s="245" t="s">
        <v>820</v>
      </c>
      <c r="B97" s="253"/>
      <c r="C97" s="179" t="s">
        <v>1212</v>
      </c>
      <c r="D97" s="517" t="s">
        <v>0</v>
      </c>
      <c r="E97" s="255">
        <v>253</v>
      </c>
      <c r="F97" s="464"/>
      <c r="G97" s="491">
        <v>1900</v>
      </c>
      <c r="H97" s="464">
        <f t="shared" si="8"/>
        <v>0</v>
      </c>
      <c r="I97" s="464">
        <f t="shared" si="10"/>
        <v>480700</v>
      </c>
      <c r="J97" s="464">
        <f t="shared" si="9"/>
        <v>480700</v>
      </c>
      <c r="K97" s="297"/>
      <c r="L97" s="360"/>
    </row>
    <row r="98" spans="1:33" s="197" customFormat="1" ht="12.75" hidden="1" customHeight="1" outlineLevel="2" x14ac:dyDescent="0.25">
      <c r="A98" s="245" t="s">
        <v>821</v>
      </c>
      <c r="B98" s="192"/>
      <c r="C98" s="193" t="s">
        <v>81</v>
      </c>
      <c r="D98" s="363" t="s">
        <v>0</v>
      </c>
      <c r="E98" s="195">
        <v>253</v>
      </c>
      <c r="F98" s="444">
        <v>2800</v>
      </c>
      <c r="G98" s="491">
        <v>0</v>
      </c>
      <c r="H98" s="464">
        <f t="shared" si="8"/>
        <v>708400</v>
      </c>
      <c r="I98" s="464">
        <f t="shared" si="10"/>
        <v>0</v>
      </c>
      <c r="J98" s="464">
        <f t="shared" si="9"/>
        <v>708400</v>
      </c>
      <c r="K98" s="196"/>
      <c r="L98" s="367"/>
    </row>
    <row r="99" spans="1:33" s="341" customFormat="1" ht="25.5" x14ac:dyDescent="0.25">
      <c r="A99" s="245" t="s">
        <v>822</v>
      </c>
      <c r="B99" s="7"/>
      <c r="C99" s="128" t="s">
        <v>734</v>
      </c>
      <c r="D99" s="8"/>
      <c r="E99" s="582"/>
      <c r="F99" s="580"/>
      <c r="G99" s="581"/>
      <c r="H99" s="580"/>
      <c r="I99" s="580">
        <f t="shared" si="10"/>
        <v>0</v>
      </c>
      <c r="J99" s="580">
        <f t="shared" si="9"/>
        <v>0</v>
      </c>
      <c r="K99" s="302"/>
      <c r="L99" s="342"/>
    </row>
    <row r="100" spans="1:33" s="34" customFormat="1" ht="25.5" x14ac:dyDescent="0.25">
      <c r="A100" s="245" t="s">
        <v>823</v>
      </c>
      <c r="B100" s="379" t="s">
        <v>7</v>
      </c>
      <c r="C100" s="376" t="s">
        <v>733</v>
      </c>
      <c r="D100" s="420" t="s">
        <v>0</v>
      </c>
      <c r="E100" s="421">
        <v>14955</v>
      </c>
      <c r="F100" s="416"/>
      <c r="G100" s="503"/>
      <c r="H100" s="416"/>
      <c r="I100" s="416">
        <f t="shared" si="10"/>
        <v>0</v>
      </c>
      <c r="J100" s="416">
        <f t="shared" si="9"/>
        <v>0</v>
      </c>
      <c r="K100" s="378"/>
      <c r="L100" s="28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  <c r="AF100" s="341"/>
      <c r="AG100" s="341"/>
    </row>
    <row r="101" spans="1:33" s="63" customFormat="1" ht="25.5" collapsed="1" x14ac:dyDescent="0.25">
      <c r="A101" s="245" t="s">
        <v>824</v>
      </c>
      <c r="B101" s="379" t="s">
        <v>6</v>
      </c>
      <c r="C101" s="380" t="s">
        <v>732</v>
      </c>
      <c r="D101" s="385" t="s">
        <v>573</v>
      </c>
      <c r="E101" s="386">
        <v>1</v>
      </c>
      <c r="F101" s="445"/>
      <c r="G101" s="504"/>
      <c r="H101" s="445"/>
      <c r="I101" s="445">
        <f t="shared" si="10"/>
        <v>0</v>
      </c>
      <c r="J101" s="445">
        <f t="shared" si="9"/>
        <v>0</v>
      </c>
      <c r="K101" s="382"/>
      <c r="L101" s="65"/>
      <c r="M101" s="338"/>
      <c r="N101" s="338"/>
      <c r="O101" s="338"/>
      <c r="P101" s="338"/>
      <c r="Q101" s="338"/>
      <c r="R101" s="338"/>
      <c r="S101" s="338"/>
      <c r="T101" s="338"/>
      <c r="U101" s="338"/>
      <c r="V101" s="338"/>
      <c r="W101" s="338"/>
      <c r="X101" s="338"/>
      <c r="Y101" s="338"/>
      <c r="Z101" s="338"/>
      <c r="AA101" s="338"/>
      <c r="AB101" s="338"/>
      <c r="AC101" s="338"/>
      <c r="AD101" s="338"/>
      <c r="AE101" s="338"/>
      <c r="AF101" s="338"/>
      <c r="AG101" s="338"/>
    </row>
    <row r="102" spans="1:33" s="180" customFormat="1" hidden="1" outlineLevel="1" x14ac:dyDescent="0.25">
      <c r="A102" s="245" t="s">
        <v>541</v>
      </c>
      <c r="B102" s="245" t="s">
        <v>16</v>
      </c>
      <c r="C102" s="435" t="s">
        <v>212</v>
      </c>
      <c r="D102" s="345" t="s">
        <v>89</v>
      </c>
      <c r="E102" s="2">
        <v>6474</v>
      </c>
      <c r="F102" s="461"/>
      <c r="G102" s="491">
        <v>255</v>
      </c>
      <c r="H102" s="464">
        <f t="shared" ref="H102:H141" si="11">F102*E102</f>
        <v>0</v>
      </c>
      <c r="I102" s="464">
        <f t="shared" si="10"/>
        <v>1650870</v>
      </c>
      <c r="J102" s="464">
        <f t="shared" si="9"/>
        <v>1650870</v>
      </c>
      <c r="K102" s="297"/>
      <c r="L102" s="179"/>
    </row>
    <row r="103" spans="1:33" s="180" customFormat="1" ht="24.75" hidden="1" customHeight="1" outlineLevel="2" x14ac:dyDescent="0.25">
      <c r="A103" s="245" t="s">
        <v>825</v>
      </c>
      <c r="B103" s="245"/>
      <c r="C103" s="250" t="s">
        <v>213</v>
      </c>
      <c r="D103" s="178" t="s">
        <v>89</v>
      </c>
      <c r="E103" s="177">
        <v>7121.4</v>
      </c>
      <c r="F103" s="461">
        <v>186.33</v>
      </c>
      <c r="G103" s="491">
        <v>0</v>
      </c>
      <c r="H103" s="464">
        <f t="shared" si="11"/>
        <v>1326930.46</v>
      </c>
      <c r="I103" s="464">
        <f t="shared" si="10"/>
        <v>0</v>
      </c>
      <c r="J103" s="464">
        <f t="shared" si="9"/>
        <v>1326930.46</v>
      </c>
      <c r="K103" s="299" t="s">
        <v>215</v>
      </c>
      <c r="L103" s="179"/>
    </row>
    <row r="104" spans="1:33" s="180" customFormat="1" hidden="1" outlineLevel="1" x14ac:dyDescent="0.25">
      <c r="A104" s="245" t="s">
        <v>534</v>
      </c>
      <c r="B104" s="245" t="s">
        <v>17</v>
      </c>
      <c r="C104" s="435" t="s">
        <v>216</v>
      </c>
      <c r="D104" s="345" t="s">
        <v>89</v>
      </c>
      <c r="E104" s="2">
        <v>126</v>
      </c>
      <c r="F104" s="461"/>
      <c r="G104" s="491">
        <v>255</v>
      </c>
      <c r="H104" s="464">
        <f t="shared" si="11"/>
        <v>0</v>
      </c>
      <c r="I104" s="464">
        <f t="shared" si="10"/>
        <v>32130</v>
      </c>
      <c r="J104" s="464">
        <f t="shared" si="9"/>
        <v>32130</v>
      </c>
      <c r="K104" s="297"/>
      <c r="L104" s="179"/>
    </row>
    <row r="105" spans="1:33" s="180" customFormat="1" ht="23.25" hidden="1" customHeight="1" outlineLevel="2" x14ac:dyDescent="0.25">
      <c r="A105" s="245" t="s">
        <v>826</v>
      </c>
      <c r="B105" s="245"/>
      <c r="C105" s="250" t="s">
        <v>217</v>
      </c>
      <c r="D105" s="178" t="s">
        <v>89</v>
      </c>
      <c r="E105" s="177">
        <v>138.6</v>
      </c>
      <c r="F105" s="461">
        <v>186.33</v>
      </c>
      <c r="G105" s="491">
        <v>0</v>
      </c>
      <c r="H105" s="464">
        <f t="shared" si="11"/>
        <v>25825.34</v>
      </c>
      <c r="I105" s="464">
        <f t="shared" si="10"/>
        <v>0</v>
      </c>
      <c r="J105" s="464">
        <f t="shared" si="9"/>
        <v>25825.34</v>
      </c>
      <c r="K105" s="299" t="s">
        <v>215</v>
      </c>
      <c r="L105" s="179"/>
    </row>
    <row r="106" spans="1:33" s="180" customFormat="1" hidden="1" outlineLevel="1" x14ac:dyDescent="0.25">
      <c r="A106" s="245" t="s">
        <v>827</v>
      </c>
      <c r="B106" s="245" t="s">
        <v>18</v>
      </c>
      <c r="C106" s="435" t="s">
        <v>218</v>
      </c>
      <c r="D106" s="345" t="s">
        <v>89</v>
      </c>
      <c r="E106" s="2">
        <v>336</v>
      </c>
      <c r="F106" s="484"/>
      <c r="G106" s="491">
        <v>255</v>
      </c>
      <c r="H106" s="464">
        <f t="shared" si="11"/>
        <v>0</v>
      </c>
      <c r="I106" s="464">
        <f t="shared" si="10"/>
        <v>85680</v>
      </c>
      <c r="J106" s="464">
        <f t="shared" si="9"/>
        <v>85680</v>
      </c>
      <c r="K106" s="299" t="s">
        <v>215</v>
      </c>
      <c r="L106" s="179"/>
    </row>
    <row r="107" spans="1:33" s="180" customFormat="1" ht="34.5" hidden="1" customHeight="1" outlineLevel="2" x14ac:dyDescent="0.25">
      <c r="A107" s="245" t="s">
        <v>828</v>
      </c>
      <c r="B107" s="245"/>
      <c r="C107" s="250" t="s">
        <v>219</v>
      </c>
      <c r="D107" s="178" t="s">
        <v>89</v>
      </c>
      <c r="E107" s="177">
        <v>369.6</v>
      </c>
      <c r="F107" s="461">
        <v>186.33</v>
      </c>
      <c r="G107" s="491">
        <v>0</v>
      </c>
      <c r="H107" s="464">
        <f t="shared" si="11"/>
        <v>68867.570000000007</v>
      </c>
      <c r="I107" s="464">
        <f t="shared" si="10"/>
        <v>0</v>
      </c>
      <c r="J107" s="464">
        <f t="shared" si="9"/>
        <v>68867.570000000007</v>
      </c>
      <c r="K107" s="299" t="s">
        <v>220</v>
      </c>
      <c r="L107" s="179"/>
    </row>
    <row r="108" spans="1:33" s="180" customFormat="1" hidden="1" outlineLevel="1" x14ac:dyDescent="0.25">
      <c r="A108" s="245" t="s">
        <v>829</v>
      </c>
      <c r="B108" s="245" t="s">
        <v>19</v>
      </c>
      <c r="C108" s="435" t="s">
        <v>731</v>
      </c>
      <c r="D108" s="345" t="s">
        <v>89</v>
      </c>
      <c r="E108" s="2">
        <v>6350</v>
      </c>
      <c r="F108" s="461"/>
      <c r="G108" s="491">
        <v>735</v>
      </c>
      <c r="H108" s="464">
        <f t="shared" si="11"/>
        <v>0</v>
      </c>
      <c r="I108" s="464">
        <f t="shared" si="10"/>
        <v>4667250</v>
      </c>
      <c r="J108" s="464">
        <f t="shared" si="9"/>
        <v>4667250</v>
      </c>
      <c r="K108" s="297" t="s">
        <v>687</v>
      </c>
      <c r="L108" s="179"/>
    </row>
    <row r="109" spans="1:33" s="180" customFormat="1" hidden="1" outlineLevel="2" x14ac:dyDescent="0.25">
      <c r="A109" s="245" t="s">
        <v>830</v>
      </c>
      <c r="B109" s="245"/>
      <c r="C109" s="250" t="s">
        <v>718</v>
      </c>
      <c r="D109" s="178" t="s">
        <v>89</v>
      </c>
      <c r="E109" s="177">
        <v>6985</v>
      </c>
      <c r="F109" s="484">
        <v>1729.76</v>
      </c>
      <c r="G109" s="491">
        <v>0</v>
      </c>
      <c r="H109" s="464">
        <f t="shared" si="11"/>
        <v>12082373.6</v>
      </c>
      <c r="I109" s="464">
        <f t="shared" si="10"/>
        <v>0</v>
      </c>
      <c r="J109" s="464">
        <f t="shared" si="9"/>
        <v>12082373.6</v>
      </c>
      <c r="K109" s="299" t="s">
        <v>224</v>
      </c>
      <c r="L109" s="179"/>
    </row>
    <row r="110" spans="1:33" s="180" customFormat="1" hidden="1" outlineLevel="1" x14ac:dyDescent="0.25">
      <c r="A110" s="245" t="s">
        <v>831</v>
      </c>
      <c r="B110" s="245" t="s">
        <v>20</v>
      </c>
      <c r="C110" s="435" t="s">
        <v>730</v>
      </c>
      <c r="D110" s="345" t="s">
        <v>89</v>
      </c>
      <c r="E110" s="2">
        <v>126</v>
      </c>
      <c r="F110" s="461"/>
      <c r="G110" s="491">
        <v>735</v>
      </c>
      <c r="H110" s="464">
        <f t="shared" si="11"/>
        <v>0</v>
      </c>
      <c r="I110" s="464">
        <f t="shared" si="10"/>
        <v>92610</v>
      </c>
      <c r="J110" s="464">
        <f t="shared" si="9"/>
        <v>92610</v>
      </c>
      <c r="K110" s="297" t="s">
        <v>687</v>
      </c>
      <c r="L110" s="179"/>
    </row>
    <row r="111" spans="1:33" s="180" customFormat="1" hidden="1" outlineLevel="2" x14ac:dyDescent="0.25">
      <c r="A111" s="245" t="s">
        <v>832</v>
      </c>
      <c r="B111" s="245"/>
      <c r="C111" s="250" t="s">
        <v>718</v>
      </c>
      <c r="D111" s="178" t="s">
        <v>89</v>
      </c>
      <c r="E111" s="177">
        <v>138.6</v>
      </c>
      <c r="F111" s="484">
        <v>1729.76</v>
      </c>
      <c r="G111" s="491">
        <v>0</v>
      </c>
      <c r="H111" s="464">
        <f t="shared" si="11"/>
        <v>239744.74</v>
      </c>
      <c r="I111" s="464">
        <f t="shared" si="10"/>
        <v>0</v>
      </c>
      <c r="J111" s="464">
        <f t="shared" si="9"/>
        <v>239744.74</v>
      </c>
      <c r="K111" s="299" t="s">
        <v>224</v>
      </c>
      <c r="L111" s="179"/>
    </row>
    <row r="112" spans="1:33" s="180" customFormat="1" hidden="1" outlineLevel="1" x14ac:dyDescent="0.25">
      <c r="A112" s="245" t="s">
        <v>833</v>
      </c>
      <c r="B112" s="245" t="s">
        <v>308</v>
      </c>
      <c r="C112" s="435" t="s">
        <v>729</v>
      </c>
      <c r="D112" s="345" t="s">
        <v>89</v>
      </c>
      <c r="E112" s="2">
        <v>336</v>
      </c>
      <c r="F112" s="461"/>
      <c r="G112" s="491">
        <v>735</v>
      </c>
      <c r="H112" s="464">
        <f t="shared" si="11"/>
        <v>0</v>
      </c>
      <c r="I112" s="464">
        <f t="shared" si="10"/>
        <v>246960</v>
      </c>
      <c r="J112" s="464">
        <f t="shared" si="9"/>
        <v>246960</v>
      </c>
      <c r="K112" s="297" t="s">
        <v>687</v>
      </c>
      <c r="L112" s="179"/>
    </row>
    <row r="113" spans="1:12" s="180" customFormat="1" hidden="1" outlineLevel="2" x14ac:dyDescent="0.25">
      <c r="A113" s="245" t="s">
        <v>834</v>
      </c>
      <c r="B113" s="245"/>
      <c r="C113" s="250" t="s">
        <v>719</v>
      </c>
      <c r="D113" s="178" t="s">
        <v>89</v>
      </c>
      <c r="E113" s="177">
        <v>369.6</v>
      </c>
      <c r="F113" s="484">
        <v>1729.76</v>
      </c>
      <c r="G113" s="491">
        <v>0</v>
      </c>
      <c r="H113" s="464">
        <f t="shared" si="11"/>
        <v>639319.30000000005</v>
      </c>
      <c r="I113" s="464">
        <f t="shared" si="10"/>
        <v>0</v>
      </c>
      <c r="J113" s="464">
        <f t="shared" si="9"/>
        <v>639319.30000000005</v>
      </c>
      <c r="K113" s="299" t="s">
        <v>220</v>
      </c>
      <c r="L113" s="179"/>
    </row>
    <row r="114" spans="1:12" s="180" customFormat="1" ht="25.5" hidden="1" outlineLevel="1" x14ac:dyDescent="0.25">
      <c r="A114" s="245" t="s">
        <v>835</v>
      </c>
      <c r="B114" s="245" t="s">
        <v>311</v>
      </c>
      <c r="C114" s="435" t="s">
        <v>721</v>
      </c>
      <c r="D114" s="345" t="s">
        <v>89</v>
      </c>
      <c r="E114" s="2">
        <v>446</v>
      </c>
      <c r="F114" s="461"/>
      <c r="G114" s="491">
        <v>735</v>
      </c>
      <c r="H114" s="464">
        <f t="shared" si="11"/>
        <v>0</v>
      </c>
      <c r="I114" s="464">
        <f t="shared" si="10"/>
        <v>327810</v>
      </c>
      <c r="J114" s="464">
        <f t="shared" si="9"/>
        <v>327810</v>
      </c>
      <c r="K114" s="297" t="s">
        <v>228</v>
      </c>
      <c r="L114" s="179"/>
    </row>
    <row r="115" spans="1:12" s="180" customFormat="1" hidden="1" outlineLevel="2" x14ac:dyDescent="0.25">
      <c r="A115" s="245" t="s">
        <v>836</v>
      </c>
      <c r="B115" s="245"/>
      <c r="C115" s="250" t="s">
        <v>722</v>
      </c>
      <c r="D115" s="178" t="s">
        <v>89</v>
      </c>
      <c r="E115" s="177">
        <v>490.6</v>
      </c>
      <c r="F115" s="461">
        <v>1729.76</v>
      </c>
      <c r="G115" s="491">
        <v>0</v>
      </c>
      <c r="H115" s="464">
        <f t="shared" si="11"/>
        <v>848620.26</v>
      </c>
      <c r="I115" s="464">
        <f t="shared" si="10"/>
        <v>0</v>
      </c>
      <c r="J115" s="464">
        <f t="shared" si="9"/>
        <v>848620.26</v>
      </c>
      <c r="K115" s="299" t="s">
        <v>220</v>
      </c>
      <c r="L115" s="179"/>
    </row>
    <row r="116" spans="1:12" s="180" customFormat="1" ht="22.5" hidden="1" customHeight="1" outlineLevel="1" x14ac:dyDescent="0.25">
      <c r="A116" s="245" t="s">
        <v>837</v>
      </c>
      <c r="B116" s="245" t="s">
        <v>315</v>
      </c>
      <c r="C116" s="435" t="s">
        <v>229</v>
      </c>
      <c r="D116" s="345" t="s">
        <v>0</v>
      </c>
      <c r="E116" s="2">
        <f>E117</f>
        <v>122</v>
      </c>
      <c r="F116" s="461"/>
      <c r="G116" s="491">
        <v>1900</v>
      </c>
      <c r="H116" s="464">
        <f t="shared" si="11"/>
        <v>0</v>
      </c>
      <c r="I116" s="464">
        <f t="shared" si="10"/>
        <v>231800</v>
      </c>
      <c r="J116" s="464">
        <f t="shared" si="9"/>
        <v>231800</v>
      </c>
      <c r="K116" s="297"/>
      <c r="L116" s="179"/>
    </row>
    <row r="117" spans="1:12" s="180" customFormat="1" ht="25.5" hidden="1" outlineLevel="2" x14ac:dyDescent="0.25">
      <c r="A117" s="245" t="s">
        <v>838</v>
      </c>
      <c r="B117" s="249"/>
      <c r="C117" s="250" t="s">
        <v>230</v>
      </c>
      <c r="D117" s="178" t="s">
        <v>0</v>
      </c>
      <c r="E117" s="177">
        <v>122</v>
      </c>
      <c r="F117" s="444">
        <v>2800</v>
      </c>
      <c r="G117" s="491">
        <v>0</v>
      </c>
      <c r="H117" s="464">
        <f t="shared" si="11"/>
        <v>341600</v>
      </c>
      <c r="I117" s="464">
        <f t="shared" si="10"/>
        <v>0</v>
      </c>
      <c r="J117" s="464">
        <f t="shared" si="9"/>
        <v>341600</v>
      </c>
      <c r="K117" s="299"/>
      <c r="L117" s="179"/>
    </row>
    <row r="118" spans="1:12" s="180" customFormat="1" hidden="1" outlineLevel="1" x14ac:dyDescent="0.25">
      <c r="A118" s="245" t="s">
        <v>839</v>
      </c>
      <c r="B118" s="245" t="s">
        <v>319</v>
      </c>
      <c r="C118" s="435" t="s">
        <v>737</v>
      </c>
      <c r="D118" s="345" t="s">
        <v>60</v>
      </c>
      <c r="E118" s="345">
        <v>237</v>
      </c>
      <c r="F118" s="484"/>
      <c r="G118" s="491">
        <v>325</v>
      </c>
      <c r="H118" s="464">
        <f t="shared" si="11"/>
        <v>0</v>
      </c>
      <c r="I118" s="464">
        <f t="shared" si="10"/>
        <v>77025</v>
      </c>
      <c r="J118" s="464">
        <f t="shared" si="9"/>
        <v>77025</v>
      </c>
      <c r="K118" s="299"/>
      <c r="L118" s="179"/>
    </row>
    <row r="119" spans="1:12" s="180" customFormat="1" ht="25.5" hidden="1" outlineLevel="2" x14ac:dyDescent="0.25">
      <c r="A119" s="245" t="s">
        <v>840</v>
      </c>
      <c r="B119" s="249"/>
      <c r="C119" s="250" t="s">
        <v>232</v>
      </c>
      <c r="D119" s="178" t="s">
        <v>60</v>
      </c>
      <c r="E119" s="178">
        <v>237</v>
      </c>
      <c r="F119" s="484">
        <v>1251</v>
      </c>
      <c r="G119" s="491">
        <v>0</v>
      </c>
      <c r="H119" s="464">
        <f t="shared" si="11"/>
        <v>296487</v>
      </c>
      <c r="I119" s="464">
        <f t="shared" si="10"/>
        <v>0</v>
      </c>
      <c r="J119" s="464">
        <f t="shared" si="9"/>
        <v>296487</v>
      </c>
      <c r="K119" s="299" t="s">
        <v>233</v>
      </c>
      <c r="L119" s="179"/>
    </row>
    <row r="120" spans="1:12" s="180" customFormat="1" hidden="1" outlineLevel="1" x14ac:dyDescent="0.25">
      <c r="A120" s="245" t="s">
        <v>841</v>
      </c>
      <c r="B120" s="245" t="s">
        <v>322</v>
      </c>
      <c r="C120" s="435" t="s">
        <v>736</v>
      </c>
      <c r="D120" s="345" t="s">
        <v>89</v>
      </c>
      <c r="E120" s="2">
        <v>6235</v>
      </c>
      <c r="F120" s="461"/>
      <c r="G120" s="491">
        <v>735</v>
      </c>
      <c r="H120" s="464">
        <f t="shared" si="11"/>
        <v>0</v>
      </c>
      <c r="I120" s="464">
        <f t="shared" si="10"/>
        <v>4582725</v>
      </c>
      <c r="J120" s="464">
        <f t="shared" si="9"/>
        <v>4582725</v>
      </c>
      <c r="K120" s="297" t="s">
        <v>687</v>
      </c>
      <c r="L120" s="179"/>
    </row>
    <row r="121" spans="1:12" s="180" customFormat="1" hidden="1" outlineLevel="2" x14ac:dyDescent="0.25">
      <c r="A121" s="245" t="s">
        <v>842</v>
      </c>
      <c r="B121" s="245"/>
      <c r="C121" s="250" t="s">
        <v>720</v>
      </c>
      <c r="D121" s="178" t="s">
        <v>89</v>
      </c>
      <c r="E121" s="177">
        <v>6858.5</v>
      </c>
      <c r="F121" s="484">
        <v>1729.76</v>
      </c>
      <c r="G121" s="491">
        <v>0</v>
      </c>
      <c r="H121" s="464">
        <f t="shared" si="11"/>
        <v>11863558.960000001</v>
      </c>
      <c r="I121" s="464">
        <f t="shared" ref="I121:I155" si="12">G121*E121</f>
        <v>0</v>
      </c>
      <c r="J121" s="464">
        <f t="shared" si="9"/>
        <v>11863558.960000001</v>
      </c>
      <c r="K121" s="299" t="s">
        <v>220</v>
      </c>
      <c r="L121" s="179"/>
    </row>
    <row r="122" spans="1:12" s="180" customFormat="1" hidden="1" outlineLevel="1" x14ac:dyDescent="0.25">
      <c r="A122" s="245" t="s">
        <v>61</v>
      </c>
      <c r="B122" s="245" t="s">
        <v>325</v>
      </c>
      <c r="C122" s="435" t="s">
        <v>723</v>
      </c>
      <c r="D122" s="345" t="s">
        <v>89</v>
      </c>
      <c r="E122" s="2">
        <v>126</v>
      </c>
      <c r="F122" s="461"/>
      <c r="G122" s="491">
        <v>735</v>
      </c>
      <c r="H122" s="464">
        <f t="shared" si="11"/>
        <v>0</v>
      </c>
      <c r="I122" s="464">
        <f t="shared" si="12"/>
        <v>92610</v>
      </c>
      <c r="J122" s="464">
        <f t="shared" si="9"/>
        <v>92610</v>
      </c>
      <c r="K122" s="297" t="s">
        <v>687</v>
      </c>
      <c r="L122" s="179"/>
    </row>
    <row r="123" spans="1:12" s="180" customFormat="1" hidden="1" outlineLevel="2" x14ac:dyDescent="0.25">
      <c r="A123" s="245" t="s">
        <v>843</v>
      </c>
      <c r="B123" s="245"/>
      <c r="C123" s="250" t="s">
        <v>720</v>
      </c>
      <c r="D123" s="178" t="s">
        <v>89</v>
      </c>
      <c r="E123" s="177">
        <v>138.6</v>
      </c>
      <c r="F123" s="484">
        <v>1729.76</v>
      </c>
      <c r="G123" s="491">
        <v>0</v>
      </c>
      <c r="H123" s="464">
        <f t="shared" si="11"/>
        <v>239744.74</v>
      </c>
      <c r="I123" s="464">
        <f t="shared" si="12"/>
        <v>0</v>
      </c>
      <c r="J123" s="464">
        <f t="shared" si="9"/>
        <v>239744.74</v>
      </c>
      <c r="K123" s="299" t="s">
        <v>220</v>
      </c>
      <c r="L123" s="179"/>
    </row>
    <row r="124" spans="1:12" s="180" customFormat="1" hidden="1" outlineLevel="1" x14ac:dyDescent="0.25">
      <c r="A124" s="245" t="s">
        <v>844</v>
      </c>
      <c r="B124" s="245" t="s">
        <v>328</v>
      </c>
      <c r="C124" s="435" t="s">
        <v>724</v>
      </c>
      <c r="D124" s="345" t="s">
        <v>89</v>
      </c>
      <c r="E124" s="2">
        <v>336</v>
      </c>
      <c r="F124" s="461"/>
      <c r="G124" s="491">
        <v>735</v>
      </c>
      <c r="H124" s="464">
        <f t="shared" si="11"/>
        <v>0</v>
      </c>
      <c r="I124" s="464">
        <f t="shared" si="12"/>
        <v>246960</v>
      </c>
      <c r="J124" s="464">
        <f t="shared" si="9"/>
        <v>246960</v>
      </c>
      <c r="K124" s="297" t="s">
        <v>687</v>
      </c>
      <c r="L124" s="179"/>
    </row>
    <row r="125" spans="1:12" s="180" customFormat="1" hidden="1" outlineLevel="2" x14ac:dyDescent="0.25">
      <c r="A125" s="245" t="s">
        <v>845</v>
      </c>
      <c r="B125" s="245"/>
      <c r="C125" s="250" t="s">
        <v>720</v>
      </c>
      <c r="D125" s="178" t="s">
        <v>89</v>
      </c>
      <c r="E125" s="177">
        <v>369.6</v>
      </c>
      <c r="F125" s="484">
        <v>1729.76</v>
      </c>
      <c r="G125" s="491">
        <v>0</v>
      </c>
      <c r="H125" s="464">
        <f t="shared" si="11"/>
        <v>639319.30000000005</v>
      </c>
      <c r="I125" s="464">
        <f t="shared" si="12"/>
        <v>0</v>
      </c>
      <c r="J125" s="464">
        <f t="shared" si="9"/>
        <v>639319.30000000005</v>
      </c>
      <c r="K125" s="299" t="s">
        <v>220</v>
      </c>
      <c r="L125" s="179"/>
    </row>
    <row r="126" spans="1:12" s="180" customFormat="1" hidden="1" outlineLevel="1" x14ac:dyDescent="0.25">
      <c r="A126" s="245" t="s">
        <v>846</v>
      </c>
      <c r="B126" s="245" t="s">
        <v>363</v>
      </c>
      <c r="C126" s="435" t="s">
        <v>237</v>
      </c>
      <c r="D126" s="345" t="s">
        <v>60</v>
      </c>
      <c r="E126" s="2">
        <v>4658</v>
      </c>
      <c r="F126" s="461"/>
      <c r="G126" s="491">
        <v>120</v>
      </c>
      <c r="H126" s="464">
        <f t="shared" si="11"/>
        <v>0</v>
      </c>
      <c r="I126" s="464">
        <f t="shared" si="12"/>
        <v>558960</v>
      </c>
      <c r="J126" s="464">
        <f t="shared" si="9"/>
        <v>558960</v>
      </c>
      <c r="K126" s="297"/>
      <c r="L126" s="179"/>
    </row>
    <row r="127" spans="1:12" s="180" customFormat="1" hidden="1" outlineLevel="2" x14ac:dyDescent="0.25">
      <c r="A127" s="245" t="s">
        <v>847</v>
      </c>
      <c r="B127" s="245"/>
      <c r="C127" s="250" t="s">
        <v>1291</v>
      </c>
      <c r="D127" s="178" t="s">
        <v>60</v>
      </c>
      <c r="E127" s="177">
        <v>4658</v>
      </c>
      <c r="F127" s="484">
        <v>115.5</v>
      </c>
      <c r="G127" s="491">
        <v>0</v>
      </c>
      <c r="H127" s="464">
        <f t="shared" si="11"/>
        <v>537999</v>
      </c>
      <c r="I127" s="464">
        <f t="shared" si="12"/>
        <v>0</v>
      </c>
      <c r="J127" s="464">
        <f t="shared" si="9"/>
        <v>537999</v>
      </c>
      <c r="K127" s="297"/>
      <c r="L127" s="179"/>
    </row>
    <row r="128" spans="1:12" s="180" customFormat="1" hidden="1" outlineLevel="1" x14ac:dyDescent="0.25">
      <c r="A128" s="245" t="s">
        <v>848</v>
      </c>
      <c r="B128" s="245" t="s">
        <v>367</v>
      </c>
      <c r="C128" s="435" t="s">
        <v>241</v>
      </c>
      <c r="D128" s="345" t="s">
        <v>89</v>
      </c>
      <c r="E128" s="2">
        <v>453</v>
      </c>
      <c r="F128" s="461"/>
      <c r="G128" s="491">
        <v>405</v>
      </c>
      <c r="H128" s="464">
        <f t="shared" si="11"/>
        <v>0</v>
      </c>
      <c r="I128" s="464">
        <f t="shared" si="12"/>
        <v>183465</v>
      </c>
      <c r="J128" s="464">
        <f t="shared" si="9"/>
        <v>183465</v>
      </c>
      <c r="K128" s="297"/>
      <c r="L128" s="179"/>
    </row>
    <row r="129" spans="1:33" s="180" customFormat="1" hidden="1" outlineLevel="2" x14ac:dyDescent="0.25">
      <c r="A129" s="245" t="s">
        <v>849</v>
      </c>
      <c r="B129" s="245"/>
      <c r="C129" s="250" t="s">
        <v>242</v>
      </c>
      <c r="D129" s="178" t="s">
        <v>89</v>
      </c>
      <c r="E129" s="177">
        <v>498.3</v>
      </c>
      <c r="F129" s="464">
        <v>168.98</v>
      </c>
      <c r="G129" s="491">
        <v>0</v>
      </c>
      <c r="H129" s="464">
        <f t="shared" si="11"/>
        <v>84202.73</v>
      </c>
      <c r="I129" s="464">
        <f t="shared" si="12"/>
        <v>0</v>
      </c>
      <c r="J129" s="464">
        <f t="shared" si="9"/>
        <v>84202.73</v>
      </c>
      <c r="K129" s="299" t="s">
        <v>220</v>
      </c>
      <c r="L129" s="179"/>
    </row>
    <row r="130" spans="1:33" s="180" customFormat="1" ht="30" hidden="1" customHeight="1" outlineLevel="1" x14ac:dyDescent="0.25">
      <c r="A130" s="245" t="s">
        <v>850</v>
      </c>
      <c r="B130" s="245" t="s">
        <v>370</v>
      </c>
      <c r="C130" s="435" t="s">
        <v>243</v>
      </c>
      <c r="D130" s="345" t="s">
        <v>60</v>
      </c>
      <c r="E130" s="2">
        <v>135</v>
      </c>
      <c r="F130" s="461"/>
      <c r="G130" s="521">
        <v>1090</v>
      </c>
      <c r="H130" s="464">
        <f t="shared" si="11"/>
        <v>0</v>
      </c>
      <c r="I130" s="464">
        <f t="shared" si="12"/>
        <v>147150</v>
      </c>
      <c r="J130" s="464">
        <f>H130+I130</f>
        <v>147150</v>
      </c>
      <c r="K130" s="297"/>
      <c r="L130" s="179"/>
    </row>
    <row r="131" spans="1:33" s="180" customFormat="1" ht="25.5" hidden="1" outlineLevel="2" x14ac:dyDescent="0.25">
      <c r="A131" s="245" t="s">
        <v>851</v>
      </c>
      <c r="B131" s="245"/>
      <c r="C131" s="250" t="s">
        <v>1205</v>
      </c>
      <c r="D131" s="178" t="s">
        <v>60</v>
      </c>
      <c r="E131" s="177">
        <v>240</v>
      </c>
      <c r="F131" s="464">
        <v>789.25</v>
      </c>
      <c r="G131" s="491">
        <v>411</v>
      </c>
      <c r="H131" s="464">
        <f t="shared" si="11"/>
        <v>189420</v>
      </c>
      <c r="I131" s="464">
        <f t="shared" si="12"/>
        <v>98640</v>
      </c>
      <c r="J131" s="464">
        <f t="shared" ref="J131:J194" si="13">H131+I131</f>
        <v>288060</v>
      </c>
      <c r="K131" s="299" t="s">
        <v>247</v>
      </c>
      <c r="L131" s="179"/>
    </row>
    <row r="132" spans="1:33" s="180" customFormat="1" ht="26.25" hidden="1" customHeight="1" outlineLevel="1" x14ac:dyDescent="0.25">
      <c r="A132" s="245" t="s">
        <v>852</v>
      </c>
      <c r="B132" s="245" t="s">
        <v>373</v>
      </c>
      <c r="C132" s="435" t="s">
        <v>1285</v>
      </c>
      <c r="D132" s="345" t="s">
        <v>0</v>
      </c>
      <c r="E132" s="245" t="s">
        <v>1036</v>
      </c>
      <c r="F132" s="484">
        <v>0</v>
      </c>
      <c r="G132" s="491">
        <v>3270</v>
      </c>
      <c r="H132" s="464">
        <f t="shared" si="11"/>
        <v>0</v>
      </c>
      <c r="I132" s="464">
        <f t="shared" si="12"/>
        <v>977730</v>
      </c>
      <c r="J132" s="464">
        <f t="shared" si="13"/>
        <v>977730</v>
      </c>
      <c r="K132" s="297"/>
      <c r="L132" s="179"/>
    </row>
    <row r="133" spans="1:33" s="180" customFormat="1" hidden="1" outlineLevel="2" x14ac:dyDescent="0.25">
      <c r="A133" s="245" t="s">
        <v>853</v>
      </c>
      <c r="B133" s="245"/>
      <c r="C133" s="250" t="s">
        <v>251</v>
      </c>
      <c r="D133" s="178" t="s">
        <v>0</v>
      </c>
      <c r="E133" s="178">
        <v>299</v>
      </c>
      <c r="F133" s="484">
        <v>6870</v>
      </c>
      <c r="G133" s="491">
        <v>0</v>
      </c>
      <c r="H133" s="464">
        <f t="shared" si="11"/>
        <v>2054130</v>
      </c>
      <c r="I133" s="464">
        <f t="shared" si="12"/>
        <v>0</v>
      </c>
      <c r="J133" s="464">
        <f t="shared" si="13"/>
        <v>2054130</v>
      </c>
      <c r="K133" s="251"/>
      <c r="L133" s="179"/>
    </row>
    <row r="134" spans="1:33" s="180" customFormat="1" hidden="1" outlineLevel="1" x14ac:dyDescent="0.25">
      <c r="A134" s="245" t="s">
        <v>854</v>
      </c>
      <c r="B134" s="245" t="s">
        <v>584</v>
      </c>
      <c r="C134" s="435" t="s">
        <v>253</v>
      </c>
      <c r="D134" s="345" t="s">
        <v>60</v>
      </c>
      <c r="E134" s="345">
        <v>306</v>
      </c>
      <c r="F134" s="461"/>
      <c r="G134" s="491">
        <v>47</v>
      </c>
      <c r="H134" s="464">
        <f t="shared" si="11"/>
        <v>0</v>
      </c>
      <c r="I134" s="464">
        <f t="shared" si="12"/>
        <v>14382</v>
      </c>
      <c r="J134" s="464">
        <f t="shared" si="13"/>
        <v>14382</v>
      </c>
      <c r="K134" s="297"/>
      <c r="L134" s="179"/>
    </row>
    <row r="135" spans="1:33" s="180" customFormat="1" hidden="1" outlineLevel="2" x14ac:dyDescent="0.25">
      <c r="A135" s="245" t="s">
        <v>855</v>
      </c>
      <c r="B135" s="245"/>
      <c r="C135" s="250" t="s">
        <v>254</v>
      </c>
      <c r="D135" s="178" t="s">
        <v>0</v>
      </c>
      <c r="E135" s="177">
        <v>2.2999999999999998</v>
      </c>
      <c r="F135" s="464">
        <v>10241.98</v>
      </c>
      <c r="G135" s="491">
        <v>0</v>
      </c>
      <c r="H135" s="464">
        <f t="shared" si="11"/>
        <v>23556.55</v>
      </c>
      <c r="I135" s="464">
        <f t="shared" si="12"/>
        <v>0</v>
      </c>
      <c r="J135" s="464">
        <f t="shared" si="13"/>
        <v>23556.55</v>
      </c>
      <c r="K135" s="297"/>
      <c r="L135" s="179"/>
    </row>
    <row r="136" spans="1:33" s="180" customFormat="1" ht="36" hidden="1" customHeight="1" outlineLevel="1" x14ac:dyDescent="0.25">
      <c r="A136" s="245" t="s">
        <v>856</v>
      </c>
      <c r="B136" s="245" t="s">
        <v>585</v>
      </c>
      <c r="C136" s="435" t="s">
        <v>1286</v>
      </c>
      <c r="D136" s="345" t="s">
        <v>0</v>
      </c>
      <c r="E136" s="345">
        <v>3.78</v>
      </c>
      <c r="F136" s="484">
        <v>0</v>
      </c>
      <c r="G136" s="491">
        <v>4370</v>
      </c>
      <c r="H136" s="464">
        <f t="shared" si="11"/>
        <v>0</v>
      </c>
      <c r="I136" s="464">
        <f t="shared" si="12"/>
        <v>16518.599999999999</v>
      </c>
      <c r="J136" s="464">
        <f t="shared" si="13"/>
        <v>16518.599999999999</v>
      </c>
      <c r="K136" s="297"/>
      <c r="L136" s="179"/>
    </row>
    <row r="137" spans="1:33" s="180" customFormat="1" hidden="1" outlineLevel="2" x14ac:dyDescent="0.25">
      <c r="A137" s="245" t="s">
        <v>857</v>
      </c>
      <c r="B137" s="245"/>
      <c r="C137" s="250" t="s">
        <v>251</v>
      </c>
      <c r="D137" s="178" t="s">
        <v>0</v>
      </c>
      <c r="E137" s="178">
        <v>3.78</v>
      </c>
      <c r="F137" s="484">
        <v>6870</v>
      </c>
      <c r="G137" s="491">
        <v>0</v>
      </c>
      <c r="H137" s="464">
        <f t="shared" si="11"/>
        <v>25968.6</v>
      </c>
      <c r="I137" s="464">
        <f t="shared" si="12"/>
        <v>0</v>
      </c>
      <c r="J137" s="464">
        <f t="shared" si="13"/>
        <v>25968.6</v>
      </c>
      <c r="K137" s="251"/>
      <c r="L137" s="179"/>
    </row>
    <row r="138" spans="1:33" s="180" customFormat="1" ht="27.75" hidden="1" customHeight="1" outlineLevel="1" x14ac:dyDescent="0.25">
      <c r="A138" s="245" t="s">
        <v>858</v>
      </c>
      <c r="B138" s="245" t="s">
        <v>586</v>
      </c>
      <c r="C138" s="435" t="s">
        <v>257</v>
      </c>
      <c r="D138" s="522" t="s">
        <v>60</v>
      </c>
      <c r="E138" s="345">
        <v>305</v>
      </c>
      <c r="F138" s="484">
        <v>0</v>
      </c>
      <c r="G138" s="491">
        <v>316</v>
      </c>
      <c r="H138" s="464">
        <f t="shared" si="11"/>
        <v>0</v>
      </c>
      <c r="I138" s="464">
        <f t="shared" si="12"/>
        <v>96380</v>
      </c>
      <c r="J138" s="464">
        <f t="shared" si="13"/>
        <v>96380</v>
      </c>
      <c r="K138" s="297"/>
      <c r="L138" s="179"/>
    </row>
    <row r="139" spans="1:33" s="180" customFormat="1" hidden="1" outlineLevel="2" x14ac:dyDescent="0.25">
      <c r="A139" s="245" t="s">
        <v>859</v>
      </c>
      <c r="B139" s="249"/>
      <c r="C139" s="250" t="s">
        <v>251</v>
      </c>
      <c r="D139" s="178" t="s">
        <v>0</v>
      </c>
      <c r="E139" s="178">
        <v>0.76</v>
      </c>
      <c r="F139" s="461">
        <v>6870</v>
      </c>
      <c r="G139" s="491">
        <v>0</v>
      </c>
      <c r="H139" s="464">
        <f t="shared" si="11"/>
        <v>5221.2</v>
      </c>
      <c r="I139" s="464">
        <f t="shared" si="12"/>
        <v>0</v>
      </c>
      <c r="J139" s="464">
        <f t="shared" si="13"/>
        <v>5221.2</v>
      </c>
      <c r="K139" s="297"/>
      <c r="L139" s="179"/>
    </row>
    <row r="140" spans="1:33" s="180" customFormat="1" hidden="1" outlineLevel="1" x14ac:dyDescent="0.25">
      <c r="A140" s="245" t="s">
        <v>860</v>
      </c>
      <c r="B140" s="245" t="s">
        <v>587</v>
      </c>
      <c r="C140" s="435" t="s">
        <v>728</v>
      </c>
      <c r="D140" s="345" t="s">
        <v>89</v>
      </c>
      <c r="E140" s="345">
        <v>170</v>
      </c>
      <c r="F140" s="461"/>
      <c r="G140" s="521">
        <v>1100</v>
      </c>
      <c r="H140" s="464">
        <f t="shared" si="11"/>
        <v>0</v>
      </c>
      <c r="I140" s="464">
        <f t="shared" si="12"/>
        <v>187000</v>
      </c>
      <c r="J140" s="464">
        <f t="shared" si="13"/>
        <v>187000</v>
      </c>
      <c r="K140" s="297" t="s">
        <v>687</v>
      </c>
      <c r="L140" s="179"/>
    </row>
    <row r="141" spans="1:33" s="180" customFormat="1" hidden="1" outlineLevel="2" x14ac:dyDescent="0.25">
      <c r="A141" s="245" t="s">
        <v>861</v>
      </c>
      <c r="B141" s="245"/>
      <c r="C141" s="250" t="s">
        <v>720</v>
      </c>
      <c r="D141" s="178" t="s">
        <v>89</v>
      </c>
      <c r="E141" s="183">
        <f>E140*1.1</f>
        <v>187</v>
      </c>
      <c r="F141" s="484">
        <v>1729.76</v>
      </c>
      <c r="G141" s="491">
        <v>0</v>
      </c>
      <c r="H141" s="464">
        <f t="shared" si="11"/>
        <v>323465.12</v>
      </c>
      <c r="I141" s="464">
        <f t="shared" si="12"/>
        <v>0</v>
      </c>
      <c r="J141" s="464">
        <f t="shared" si="13"/>
        <v>323465.12</v>
      </c>
      <c r="K141" s="299" t="s">
        <v>220</v>
      </c>
      <c r="L141" s="337"/>
    </row>
    <row r="142" spans="1:33" s="63" customFormat="1" ht="19.5" customHeight="1" collapsed="1" x14ac:dyDescent="0.25">
      <c r="A142" s="245" t="s">
        <v>862</v>
      </c>
      <c r="B142" s="379" t="s">
        <v>98</v>
      </c>
      <c r="C142" s="422" t="s">
        <v>738</v>
      </c>
      <c r="D142" s="385" t="s">
        <v>45</v>
      </c>
      <c r="E142" s="386">
        <v>11</v>
      </c>
      <c r="F142" s="458"/>
      <c r="G142" s="499"/>
      <c r="H142" s="458"/>
      <c r="I142" s="458">
        <f t="shared" si="12"/>
        <v>0</v>
      </c>
      <c r="J142" s="458">
        <f t="shared" si="13"/>
        <v>0</v>
      </c>
      <c r="K142" s="385"/>
      <c r="L142" s="65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8"/>
      <c r="AC142" s="338"/>
      <c r="AD142" s="338"/>
      <c r="AE142" s="338"/>
      <c r="AF142" s="338"/>
      <c r="AG142" s="338"/>
    </row>
    <row r="143" spans="1:33" s="180" customFormat="1" hidden="1" outlineLevel="1" x14ac:dyDescent="0.25">
      <c r="A143" s="245" t="s">
        <v>863</v>
      </c>
      <c r="B143" s="245" t="s">
        <v>592</v>
      </c>
      <c r="C143" s="246" t="s">
        <v>274</v>
      </c>
      <c r="D143" s="247" t="s">
        <v>45</v>
      </c>
      <c r="E143" s="336">
        <v>11</v>
      </c>
      <c r="F143" s="461"/>
      <c r="G143" s="491">
        <v>27650</v>
      </c>
      <c r="H143" s="464">
        <f t="shared" ref="H143:H152" si="14">F143*E143</f>
        <v>0</v>
      </c>
      <c r="I143" s="464">
        <f t="shared" si="12"/>
        <v>304150</v>
      </c>
      <c r="J143" s="464">
        <f t="shared" si="13"/>
        <v>304150</v>
      </c>
      <c r="K143" s="297"/>
      <c r="L143" s="756" t="s">
        <v>647</v>
      </c>
    </row>
    <row r="144" spans="1:33" s="180" customFormat="1" hidden="1" outlineLevel="2" x14ac:dyDescent="0.25">
      <c r="A144" s="245" t="s">
        <v>864</v>
      </c>
      <c r="B144" s="249"/>
      <c r="C144" s="250" t="s">
        <v>275</v>
      </c>
      <c r="D144" s="178" t="s">
        <v>276</v>
      </c>
      <c r="E144" s="178">
        <v>11</v>
      </c>
      <c r="F144" s="464">
        <v>32315</v>
      </c>
      <c r="G144" s="491">
        <v>0</v>
      </c>
      <c r="H144" s="464">
        <f t="shared" si="14"/>
        <v>355465</v>
      </c>
      <c r="I144" s="464">
        <f t="shared" si="12"/>
        <v>0</v>
      </c>
      <c r="J144" s="464">
        <f t="shared" si="13"/>
        <v>355465</v>
      </c>
      <c r="K144" s="299" t="s">
        <v>277</v>
      </c>
      <c r="L144" s="757"/>
    </row>
    <row r="145" spans="1:33" s="180" customFormat="1" hidden="1" outlineLevel="2" x14ac:dyDescent="0.25">
      <c r="A145" s="245" t="s">
        <v>865</v>
      </c>
      <c r="B145" s="249"/>
      <c r="C145" s="250" t="s">
        <v>278</v>
      </c>
      <c r="D145" s="178" t="s">
        <v>276</v>
      </c>
      <c r="E145" s="177">
        <v>11</v>
      </c>
      <c r="F145" s="484">
        <v>1100</v>
      </c>
      <c r="G145" s="491">
        <v>0</v>
      </c>
      <c r="H145" s="464">
        <f t="shared" si="14"/>
        <v>12100</v>
      </c>
      <c r="I145" s="464">
        <f t="shared" si="12"/>
        <v>0</v>
      </c>
      <c r="J145" s="464">
        <f t="shared" si="13"/>
        <v>12100</v>
      </c>
      <c r="K145" s="299" t="s">
        <v>279</v>
      </c>
      <c r="L145" s="758"/>
    </row>
    <row r="146" spans="1:33" s="180" customFormat="1" ht="17.25" hidden="1" customHeight="1" outlineLevel="1" x14ac:dyDescent="0.25">
      <c r="A146" s="245" t="s">
        <v>866</v>
      </c>
      <c r="B146" s="245" t="s">
        <v>594</v>
      </c>
      <c r="C146" s="246" t="s">
        <v>285</v>
      </c>
      <c r="D146" s="247" t="s">
        <v>276</v>
      </c>
      <c r="E146" s="336">
        <v>11</v>
      </c>
      <c r="F146" s="484"/>
      <c r="G146" s="491">
        <v>795</v>
      </c>
      <c r="H146" s="464">
        <f t="shared" si="14"/>
        <v>0</v>
      </c>
      <c r="I146" s="464">
        <f t="shared" si="12"/>
        <v>8745</v>
      </c>
      <c r="J146" s="464">
        <f t="shared" si="13"/>
        <v>8745</v>
      </c>
      <c r="K146" s="299"/>
      <c r="L146" s="756" t="s">
        <v>648</v>
      </c>
    </row>
    <row r="147" spans="1:33" s="180" customFormat="1" hidden="1" outlineLevel="2" x14ac:dyDescent="0.25">
      <c r="A147" s="245" t="s">
        <v>867</v>
      </c>
      <c r="B147" s="249"/>
      <c r="C147" s="250" t="s">
        <v>286</v>
      </c>
      <c r="D147" s="178" t="s">
        <v>92</v>
      </c>
      <c r="E147" s="178">
        <v>1.7</v>
      </c>
      <c r="F147" s="484">
        <v>276.83</v>
      </c>
      <c r="G147" s="491">
        <v>0</v>
      </c>
      <c r="H147" s="464">
        <f t="shared" si="14"/>
        <v>470.61</v>
      </c>
      <c r="I147" s="464">
        <f t="shared" si="12"/>
        <v>0</v>
      </c>
      <c r="J147" s="464">
        <f t="shared" si="13"/>
        <v>470.61</v>
      </c>
      <c r="K147" s="299" t="s">
        <v>287</v>
      </c>
      <c r="L147" s="757"/>
    </row>
    <row r="148" spans="1:33" s="180" customFormat="1" hidden="1" outlineLevel="2" x14ac:dyDescent="0.25">
      <c r="A148" s="245" t="s">
        <v>868</v>
      </c>
      <c r="B148" s="249"/>
      <c r="C148" s="250" t="s">
        <v>288</v>
      </c>
      <c r="D148" s="178" t="s">
        <v>92</v>
      </c>
      <c r="E148" s="178">
        <v>5.0999999999999996</v>
      </c>
      <c r="F148" s="484">
        <v>230</v>
      </c>
      <c r="G148" s="491">
        <v>0</v>
      </c>
      <c r="H148" s="464">
        <f t="shared" si="14"/>
        <v>1173</v>
      </c>
      <c r="I148" s="464">
        <f t="shared" si="12"/>
        <v>0</v>
      </c>
      <c r="J148" s="464">
        <f t="shared" si="13"/>
        <v>1173</v>
      </c>
      <c r="K148" s="299" t="s">
        <v>289</v>
      </c>
      <c r="L148" s="758"/>
    </row>
    <row r="149" spans="1:33" s="180" customFormat="1" ht="18.75" hidden="1" customHeight="1" outlineLevel="1" x14ac:dyDescent="0.25">
      <c r="A149" s="245" t="s">
        <v>869</v>
      </c>
      <c r="B149" s="245" t="s">
        <v>595</v>
      </c>
      <c r="C149" s="246" t="s">
        <v>290</v>
      </c>
      <c r="D149" s="247" t="s">
        <v>60</v>
      </c>
      <c r="E149" s="247">
        <v>31.4</v>
      </c>
      <c r="F149" s="461"/>
      <c r="G149" s="491">
        <v>19150</v>
      </c>
      <c r="H149" s="464">
        <f t="shared" si="14"/>
        <v>0</v>
      </c>
      <c r="I149" s="464">
        <f t="shared" si="12"/>
        <v>601310</v>
      </c>
      <c r="J149" s="464">
        <f t="shared" si="13"/>
        <v>601310</v>
      </c>
      <c r="K149" s="297">
        <f>SUM(I150:I152)</f>
        <v>0</v>
      </c>
      <c r="L149" s="179"/>
    </row>
    <row r="150" spans="1:33" s="180" customFormat="1" hidden="1" outlineLevel="2" x14ac:dyDescent="0.25">
      <c r="A150" s="245" t="s">
        <v>870</v>
      </c>
      <c r="B150" s="249"/>
      <c r="C150" s="250" t="s">
        <v>291</v>
      </c>
      <c r="D150" s="178" t="s">
        <v>60</v>
      </c>
      <c r="E150" s="178">
        <v>31.4</v>
      </c>
      <c r="F150" s="484">
        <v>8308.2900000000009</v>
      </c>
      <c r="G150" s="491">
        <v>0</v>
      </c>
      <c r="H150" s="464">
        <f t="shared" si="14"/>
        <v>260880.31</v>
      </c>
      <c r="I150" s="464">
        <f t="shared" si="12"/>
        <v>0</v>
      </c>
      <c r="J150" s="464">
        <f t="shared" si="13"/>
        <v>260880.31</v>
      </c>
      <c r="K150" s="299" t="s">
        <v>292</v>
      </c>
      <c r="L150" s="179"/>
    </row>
    <row r="151" spans="1:33" s="180" customFormat="1" hidden="1" outlineLevel="2" x14ac:dyDescent="0.25">
      <c r="A151" s="245" t="s">
        <v>871</v>
      </c>
      <c r="B151" s="249"/>
      <c r="C151" s="250" t="s">
        <v>293</v>
      </c>
      <c r="D151" s="178" t="s">
        <v>0</v>
      </c>
      <c r="E151" s="177">
        <v>307</v>
      </c>
      <c r="F151" s="484">
        <v>6870</v>
      </c>
      <c r="G151" s="491">
        <v>0</v>
      </c>
      <c r="H151" s="464">
        <f t="shared" si="14"/>
        <v>2109090</v>
      </c>
      <c r="I151" s="464">
        <f t="shared" si="12"/>
        <v>0</v>
      </c>
      <c r="J151" s="464">
        <f t="shared" si="13"/>
        <v>2109090</v>
      </c>
      <c r="K151" s="299"/>
      <c r="L151" s="179"/>
    </row>
    <row r="152" spans="1:33" s="180" customFormat="1" hidden="1" outlineLevel="2" x14ac:dyDescent="0.25">
      <c r="A152" s="245" t="s">
        <v>872</v>
      </c>
      <c r="B152" s="249"/>
      <c r="C152" s="250" t="s">
        <v>294</v>
      </c>
      <c r="D152" s="178" t="s">
        <v>295</v>
      </c>
      <c r="E152" s="177">
        <v>1.86</v>
      </c>
      <c r="F152" s="484">
        <v>8600</v>
      </c>
      <c r="G152" s="491">
        <v>0</v>
      </c>
      <c r="H152" s="464">
        <f t="shared" si="14"/>
        <v>15996</v>
      </c>
      <c r="I152" s="464">
        <f t="shared" si="12"/>
        <v>0</v>
      </c>
      <c r="J152" s="464">
        <f t="shared" si="13"/>
        <v>15996</v>
      </c>
      <c r="K152" s="299" t="s">
        <v>296</v>
      </c>
      <c r="L152" s="179"/>
    </row>
    <row r="153" spans="1:33" s="63" customFormat="1" collapsed="1" x14ac:dyDescent="0.25">
      <c r="A153" s="245" t="s">
        <v>873</v>
      </c>
      <c r="B153" s="379" t="s">
        <v>46</v>
      </c>
      <c r="C153" s="380" t="s">
        <v>678</v>
      </c>
      <c r="D153" s="385" t="s">
        <v>573</v>
      </c>
      <c r="E153" s="386">
        <v>1</v>
      </c>
      <c r="F153" s="445"/>
      <c r="G153" s="504"/>
      <c r="H153" s="445"/>
      <c r="I153" s="445">
        <f t="shared" si="12"/>
        <v>0</v>
      </c>
      <c r="J153" s="445">
        <f t="shared" si="13"/>
        <v>0</v>
      </c>
      <c r="K153" s="387"/>
      <c r="L153" s="65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</row>
    <row r="154" spans="1:33" s="338" customFormat="1" hidden="1" outlineLevel="1" x14ac:dyDescent="0.25">
      <c r="A154" s="245" t="s">
        <v>874</v>
      </c>
      <c r="B154" s="120" t="s">
        <v>377</v>
      </c>
      <c r="C154" s="130" t="s">
        <v>679</v>
      </c>
      <c r="D154" s="138" t="s">
        <v>45</v>
      </c>
      <c r="E154" s="348">
        <v>2</v>
      </c>
      <c r="F154" s="485"/>
      <c r="G154" s="505"/>
      <c r="H154" s="486"/>
      <c r="I154" s="486">
        <f t="shared" si="12"/>
        <v>0</v>
      </c>
      <c r="J154" s="459">
        <f t="shared" si="13"/>
        <v>0</v>
      </c>
      <c r="K154" s="300"/>
      <c r="L154" s="337"/>
    </row>
    <row r="155" spans="1:33" s="180" customFormat="1" ht="25.5" hidden="1" customHeight="1" outlineLevel="2" x14ac:dyDescent="0.25">
      <c r="A155" s="245" t="s">
        <v>875</v>
      </c>
      <c r="B155" s="245"/>
      <c r="C155" s="246" t="s">
        <v>298</v>
      </c>
      <c r="D155" s="247" t="s">
        <v>45</v>
      </c>
      <c r="E155" s="336">
        <v>2</v>
      </c>
      <c r="F155" s="484"/>
      <c r="G155" s="491">
        <v>115200</v>
      </c>
      <c r="H155" s="464">
        <f t="shared" ref="H155:H189" si="15">F155*E155</f>
        <v>0</v>
      </c>
      <c r="I155" s="464">
        <f t="shared" si="12"/>
        <v>230400</v>
      </c>
      <c r="J155" s="464">
        <f t="shared" si="13"/>
        <v>230400</v>
      </c>
      <c r="K155" s="297"/>
      <c r="L155" s="179"/>
    </row>
    <row r="156" spans="1:33" s="180" customFormat="1" ht="33" hidden="1" customHeight="1" outlineLevel="2" x14ac:dyDescent="0.25">
      <c r="A156" s="245" t="s">
        <v>876</v>
      </c>
      <c r="B156" s="249"/>
      <c r="C156" s="435" t="s">
        <v>299</v>
      </c>
      <c r="D156" s="178" t="s">
        <v>45</v>
      </c>
      <c r="E156" s="177">
        <v>2</v>
      </c>
      <c r="F156" s="461">
        <v>288000</v>
      </c>
      <c r="G156" s="491">
        <v>0</v>
      </c>
      <c r="H156" s="464">
        <f t="shared" si="15"/>
        <v>576000</v>
      </c>
      <c r="I156" s="464">
        <v>0</v>
      </c>
      <c r="J156" s="464">
        <f t="shared" si="13"/>
        <v>576000</v>
      </c>
      <c r="K156" s="299"/>
      <c r="L156" s="179"/>
    </row>
    <row r="157" spans="1:33" s="180" customFormat="1" ht="26.25" hidden="1" customHeight="1" outlineLevel="2" x14ac:dyDescent="0.25">
      <c r="A157" s="245" t="s">
        <v>877</v>
      </c>
      <c r="B157" s="245"/>
      <c r="C157" s="246" t="s">
        <v>300</v>
      </c>
      <c r="D157" s="247" t="s">
        <v>45</v>
      </c>
      <c r="E157" s="336">
        <v>2</v>
      </c>
      <c r="F157" s="484"/>
      <c r="G157" s="491">
        <v>16330</v>
      </c>
      <c r="H157" s="464">
        <f t="shared" si="15"/>
        <v>0</v>
      </c>
      <c r="I157" s="464">
        <f>G157*E157</f>
        <v>32660</v>
      </c>
      <c r="J157" s="464">
        <f t="shared" si="13"/>
        <v>32660</v>
      </c>
      <c r="K157" s="297"/>
      <c r="L157" s="179"/>
    </row>
    <row r="158" spans="1:33" s="180" customFormat="1" ht="25.5" hidden="1" outlineLevel="2" x14ac:dyDescent="0.25">
      <c r="A158" s="245" t="s">
        <v>878</v>
      </c>
      <c r="B158" s="249"/>
      <c r="C158" s="250" t="s">
        <v>301</v>
      </c>
      <c r="D158" s="178" t="s">
        <v>45</v>
      </c>
      <c r="E158" s="177">
        <v>2</v>
      </c>
      <c r="F158" s="461">
        <v>32658</v>
      </c>
      <c r="G158" s="491">
        <v>0</v>
      </c>
      <c r="H158" s="464">
        <f t="shared" si="15"/>
        <v>65316</v>
      </c>
      <c r="I158" s="464">
        <v>0</v>
      </c>
      <c r="J158" s="464">
        <f t="shared" si="13"/>
        <v>65316</v>
      </c>
      <c r="K158" s="299"/>
      <c r="L158" s="179"/>
    </row>
    <row r="159" spans="1:33" s="180" customFormat="1" hidden="1" outlineLevel="2" x14ac:dyDescent="0.25">
      <c r="A159" s="245" t="s">
        <v>879</v>
      </c>
      <c r="B159" s="245"/>
      <c r="C159" s="246" t="s">
        <v>302</v>
      </c>
      <c r="D159" s="247" t="s">
        <v>276</v>
      </c>
      <c r="E159" s="247">
        <v>4</v>
      </c>
      <c r="F159" s="461">
        <v>0</v>
      </c>
      <c r="G159" s="491">
        <v>645</v>
      </c>
      <c r="H159" s="464">
        <f t="shared" si="15"/>
        <v>0</v>
      </c>
      <c r="I159" s="464">
        <f t="shared" ref="I159:I174" si="16">G159*E159</f>
        <v>2580</v>
      </c>
      <c r="J159" s="464">
        <f t="shared" si="13"/>
        <v>2580</v>
      </c>
      <c r="K159" s="297"/>
      <c r="L159" s="179"/>
    </row>
    <row r="160" spans="1:33" s="180" customFormat="1" hidden="1" outlineLevel="2" x14ac:dyDescent="0.25">
      <c r="A160" s="245" t="s">
        <v>880</v>
      </c>
      <c r="B160" s="249"/>
      <c r="C160" s="250" t="s">
        <v>303</v>
      </c>
      <c r="D160" s="178" t="s">
        <v>60</v>
      </c>
      <c r="E160" s="523">
        <v>10</v>
      </c>
      <c r="F160" s="461">
        <v>247</v>
      </c>
      <c r="G160" s="491">
        <v>0</v>
      </c>
      <c r="H160" s="464">
        <f t="shared" si="15"/>
        <v>2470</v>
      </c>
      <c r="I160" s="464">
        <f t="shared" si="16"/>
        <v>0</v>
      </c>
      <c r="J160" s="464">
        <f t="shared" si="13"/>
        <v>2470</v>
      </c>
      <c r="K160" s="299"/>
      <c r="L160" s="179"/>
    </row>
    <row r="161" spans="1:12" s="180" customFormat="1" hidden="1" outlineLevel="2" x14ac:dyDescent="0.25">
      <c r="A161" s="245" t="s">
        <v>881</v>
      </c>
      <c r="B161" s="245"/>
      <c r="C161" s="246" t="s">
        <v>304</v>
      </c>
      <c r="D161" s="247" t="s">
        <v>45</v>
      </c>
      <c r="E161" s="336">
        <v>2</v>
      </c>
      <c r="F161" s="461"/>
      <c r="G161" s="491">
        <v>578</v>
      </c>
      <c r="H161" s="464">
        <f t="shared" si="15"/>
        <v>0</v>
      </c>
      <c r="I161" s="464">
        <f t="shared" si="16"/>
        <v>1156</v>
      </c>
      <c r="J161" s="464">
        <f t="shared" si="13"/>
        <v>1156</v>
      </c>
      <c r="K161" s="297"/>
      <c r="L161" s="179"/>
    </row>
    <row r="162" spans="1:12" s="180" customFormat="1" hidden="1" outlineLevel="2" x14ac:dyDescent="0.25">
      <c r="A162" s="245" t="s">
        <v>882</v>
      </c>
      <c r="B162" s="249"/>
      <c r="C162" s="250" t="s">
        <v>305</v>
      </c>
      <c r="D162" s="178" t="s">
        <v>45</v>
      </c>
      <c r="E162" s="177">
        <v>2</v>
      </c>
      <c r="F162" s="461">
        <v>2315</v>
      </c>
      <c r="G162" s="491">
        <v>0</v>
      </c>
      <c r="H162" s="464">
        <f t="shared" si="15"/>
        <v>4630</v>
      </c>
      <c r="I162" s="464">
        <f t="shared" si="16"/>
        <v>0</v>
      </c>
      <c r="J162" s="464">
        <f t="shared" si="13"/>
        <v>4630</v>
      </c>
      <c r="K162" s="299"/>
      <c r="L162" s="179"/>
    </row>
    <row r="163" spans="1:12" s="180" customFormat="1" hidden="1" outlineLevel="2" x14ac:dyDescent="0.25">
      <c r="A163" s="245" t="s">
        <v>883</v>
      </c>
      <c r="B163" s="245"/>
      <c r="C163" s="246" t="s">
        <v>306</v>
      </c>
      <c r="D163" s="247" t="s">
        <v>45</v>
      </c>
      <c r="E163" s="336">
        <v>2</v>
      </c>
      <c r="F163" s="461"/>
      <c r="G163" s="491">
        <v>3650</v>
      </c>
      <c r="H163" s="464">
        <f t="shared" si="15"/>
        <v>0</v>
      </c>
      <c r="I163" s="464">
        <f t="shared" si="16"/>
        <v>7300</v>
      </c>
      <c r="J163" s="464">
        <f t="shared" si="13"/>
        <v>7300</v>
      </c>
      <c r="K163" s="297"/>
      <c r="L163" s="179"/>
    </row>
    <row r="164" spans="1:12" s="180" customFormat="1" hidden="1" outlineLevel="2" x14ac:dyDescent="0.25">
      <c r="A164" s="245" t="s">
        <v>884</v>
      </c>
      <c r="B164" s="245"/>
      <c r="C164" s="250" t="s">
        <v>307</v>
      </c>
      <c r="D164" s="178" t="s">
        <v>276</v>
      </c>
      <c r="E164" s="177">
        <v>2</v>
      </c>
      <c r="F164" s="461">
        <v>7950</v>
      </c>
      <c r="G164" s="491">
        <v>0</v>
      </c>
      <c r="H164" s="464">
        <f t="shared" si="15"/>
        <v>15900</v>
      </c>
      <c r="I164" s="464">
        <f t="shared" si="16"/>
        <v>0</v>
      </c>
      <c r="J164" s="464">
        <f t="shared" si="13"/>
        <v>15900</v>
      </c>
      <c r="K164" s="297"/>
      <c r="L164" s="179"/>
    </row>
    <row r="165" spans="1:12" s="180" customFormat="1" hidden="1" outlineLevel="2" x14ac:dyDescent="0.25">
      <c r="A165" s="245" t="s">
        <v>885</v>
      </c>
      <c r="B165" s="245"/>
      <c r="C165" s="246" t="s">
        <v>309</v>
      </c>
      <c r="D165" s="247" t="s">
        <v>45</v>
      </c>
      <c r="E165" s="336">
        <v>11</v>
      </c>
      <c r="F165" s="461"/>
      <c r="G165" s="491">
        <v>1060</v>
      </c>
      <c r="H165" s="464">
        <f t="shared" si="15"/>
        <v>0</v>
      </c>
      <c r="I165" s="464">
        <f t="shared" si="16"/>
        <v>11660</v>
      </c>
      <c r="J165" s="464">
        <f t="shared" si="13"/>
        <v>11660</v>
      </c>
      <c r="K165" s="297"/>
      <c r="L165" s="179"/>
    </row>
    <row r="166" spans="1:12" s="180" customFormat="1" hidden="1" outlineLevel="2" x14ac:dyDescent="0.25">
      <c r="A166" s="245" t="s">
        <v>886</v>
      </c>
      <c r="B166" s="245"/>
      <c r="C166" s="250" t="s">
        <v>310</v>
      </c>
      <c r="D166" s="178" t="s">
        <v>276</v>
      </c>
      <c r="E166" s="177">
        <v>11</v>
      </c>
      <c r="F166" s="461">
        <v>4245</v>
      </c>
      <c r="G166" s="491">
        <v>0</v>
      </c>
      <c r="H166" s="464">
        <f t="shared" si="15"/>
        <v>46695</v>
      </c>
      <c r="I166" s="464">
        <f t="shared" si="16"/>
        <v>0</v>
      </c>
      <c r="J166" s="464">
        <f t="shared" si="13"/>
        <v>46695</v>
      </c>
      <c r="K166" s="297"/>
      <c r="L166" s="179"/>
    </row>
    <row r="167" spans="1:12" s="180" customFormat="1" hidden="1" outlineLevel="2" x14ac:dyDescent="0.25">
      <c r="A167" s="245" t="s">
        <v>887</v>
      </c>
      <c r="B167" s="245"/>
      <c r="C167" s="246" t="s">
        <v>312</v>
      </c>
      <c r="D167" s="247" t="s">
        <v>45</v>
      </c>
      <c r="E167" s="336">
        <v>4</v>
      </c>
      <c r="F167" s="461"/>
      <c r="G167" s="521">
        <v>1090</v>
      </c>
      <c r="H167" s="464">
        <f t="shared" si="15"/>
        <v>0</v>
      </c>
      <c r="I167" s="464">
        <f t="shared" si="16"/>
        <v>4360</v>
      </c>
      <c r="J167" s="464">
        <f t="shared" si="13"/>
        <v>4360</v>
      </c>
      <c r="K167" s="297"/>
      <c r="L167" s="179"/>
    </row>
    <row r="168" spans="1:12" s="180" customFormat="1" hidden="1" outlineLevel="2" x14ac:dyDescent="0.25">
      <c r="A168" s="245" t="s">
        <v>888</v>
      </c>
      <c r="B168" s="249"/>
      <c r="C168" s="250" t="s">
        <v>313</v>
      </c>
      <c r="D168" s="178" t="s">
        <v>45</v>
      </c>
      <c r="E168" s="177">
        <v>9</v>
      </c>
      <c r="F168" s="461">
        <v>630</v>
      </c>
      <c r="G168" s="491">
        <v>0</v>
      </c>
      <c r="H168" s="464">
        <f t="shared" si="15"/>
        <v>5670</v>
      </c>
      <c r="I168" s="464">
        <f t="shared" si="16"/>
        <v>0</v>
      </c>
      <c r="J168" s="464">
        <f t="shared" si="13"/>
        <v>5670</v>
      </c>
      <c r="K168" s="299" t="s">
        <v>314</v>
      </c>
      <c r="L168" s="179"/>
    </row>
    <row r="169" spans="1:12" s="180" customFormat="1" hidden="1" outlineLevel="2" x14ac:dyDescent="0.25">
      <c r="A169" s="245" t="s">
        <v>889</v>
      </c>
      <c r="B169" s="245"/>
      <c r="C169" s="246" t="s">
        <v>316</v>
      </c>
      <c r="D169" s="247" t="s">
        <v>45</v>
      </c>
      <c r="E169" s="336">
        <v>1</v>
      </c>
      <c r="F169" s="461"/>
      <c r="G169" s="521">
        <v>1090</v>
      </c>
      <c r="H169" s="464">
        <f t="shared" si="15"/>
        <v>0</v>
      </c>
      <c r="I169" s="464">
        <f t="shared" si="16"/>
        <v>1090</v>
      </c>
      <c r="J169" s="464">
        <f t="shared" si="13"/>
        <v>1090</v>
      </c>
      <c r="K169" s="297"/>
      <c r="L169" s="179"/>
    </row>
    <row r="170" spans="1:12" s="180" customFormat="1" hidden="1" outlineLevel="2" x14ac:dyDescent="0.25">
      <c r="A170" s="245" t="s">
        <v>890</v>
      </c>
      <c r="B170" s="249"/>
      <c r="C170" s="250" t="s">
        <v>317</v>
      </c>
      <c r="D170" s="178" t="s">
        <v>45</v>
      </c>
      <c r="E170" s="177">
        <v>4</v>
      </c>
      <c r="F170" s="461">
        <v>1785</v>
      </c>
      <c r="G170" s="491">
        <v>0</v>
      </c>
      <c r="H170" s="464">
        <f t="shared" si="15"/>
        <v>7140</v>
      </c>
      <c r="I170" s="464">
        <f t="shared" si="16"/>
        <v>0</v>
      </c>
      <c r="J170" s="464">
        <f t="shared" si="13"/>
        <v>7140</v>
      </c>
      <c r="K170" s="299"/>
      <c r="L170" s="179"/>
    </row>
    <row r="171" spans="1:12" s="180" customFormat="1" hidden="1" outlineLevel="2" x14ac:dyDescent="0.25">
      <c r="A171" s="245" t="s">
        <v>891</v>
      </c>
      <c r="B171" s="249"/>
      <c r="C171" s="250" t="s">
        <v>318</v>
      </c>
      <c r="D171" s="178" t="s">
        <v>45</v>
      </c>
      <c r="E171" s="177">
        <v>1</v>
      </c>
      <c r="F171" s="461">
        <v>630</v>
      </c>
      <c r="G171" s="491">
        <v>0</v>
      </c>
      <c r="H171" s="464">
        <f t="shared" si="15"/>
        <v>630</v>
      </c>
      <c r="I171" s="464">
        <f t="shared" si="16"/>
        <v>0</v>
      </c>
      <c r="J171" s="464">
        <f t="shared" si="13"/>
        <v>630</v>
      </c>
      <c r="K171" s="299"/>
      <c r="L171" s="179"/>
    </row>
    <row r="172" spans="1:12" s="180" customFormat="1" hidden="1" outlineLevel="2" x14ac:dyDescent="0.25">
      <c r="A172" s="245" t="s">
        <v>892</v>
      </c>
      <c r="B172" s="245"/>
      <c r="C172" s="246" t="s">
        <v>320</v>
      </c>
      <c r="D172" s="247" t="s">
        <v>45</v>
      </c>
      <c r="E172" s="336">
        <v>1</v>
      </c>
      <c r="F172" s="461"/>
      <c r="G172" s="521">
        <v>1090</v>
      </c>
      <c r="H172" s="464">
        <f t="shared" si="15"/>
        <v>0</v>
      </c>
      <c r="I172" s="464">
        <f t="shared" si="16"/>
        <v>1090</v>
      </c>
      <c r="J172" s="464">
        <f t="shared" si="13"/>
        <v>1090</v>
      </c>
      <c r="K172" s="297"/>
      <c r="L172" s="179"/>
    </row>
    <row r="173" spans="1:12" s="180" customFormat="1" hidden="1" outlineLevel="2" x14ac:dyDescent="0.25">
      <c r="A173" s="245" t="s">
        <v>893</v>
      </c>
      <c r="B173" s="245"/>
      <c r="C173" s="250" t="s">
        <v>321</v>
      </c>
      <c r="D173" s="178" t="s">
        <v>276</v>
      </c>
      <c r="E173" s="177">
        <v>1</v>
      </c>
      <c r="F173" s="461">
        <v>1202.75</v>
      </c>
      <c r="G173" s="491">
        <v>0</v>
      </c>
      <c r="H173" s="464">
        <f t="shared" si="15"/>
        <v>1202.75</v>
      </c>
      <c r="I173" s="464">
        <f t="shared" si="16"/>
        <v>0</v>
      </c>
      <c r="J173" s="464">
        <f t="shared" si="13"/>
        <v>1202.75</v>
      </c>
      <c r="K173" s="297"/>
      <c r="L173" s="179"/>
    </row>
    <row r="174" spans="1:12" s="180" customFormat="1" hidden="1" outlineLevel="2" x14ac:dyDescent="0.25">
      <c r="A174" s="245" t="s">
        <v>894</v>
      </c>
      <c r="B174" s="245"/>
      <c r="C174" s="246" t="s">
        <v>323</v>
      </c>
      <c r="D174" s="247" t="s">
        <v>45</v>
      </c>
      <c r="E174" s="336">
        <v>4</v>
      </c>
      <c r="F174" s="461"/>
      <c r="G174" s="491">
        <v>45</v>
      </c>
      <c r="H174" s="464">
        <f t="shared" si="15"/>
        <v>0</v>
      </c>
      <c r="I174" s="464">
        <f t="shared" si="16"/>
        <v>180</v>
      </c>
      <c r="J174" s="464">
        <f t="shared" si="13"/>
        <v>180</v>
      </c>
      <c r="K174" s="297"/>
      <c r="L174" s="179"/>
    </row>
    <row r="175" spans="1:12" s="180" customFormat="1" hidden="1" outlineLevel="2" x14ac:dyDescent="0.25">
      <c r="A175" s="245" t="s">
        <v>895</v>
      </c>
      <c r="B175" s="249"/>
      <c r="C175" s="250" t="s">
        <v>324</v>
      </c>
      <c r="D175" s="178" t="s">
        <v>45</v>
      </c>
      <c r="E175" s="177">
        <v>4</v>
      </c>
      <c r="F175" s="461">
        <v>72.31</v>
      </c>
      <c r="G175" s="491">
        <v>0</v>
      </c>
      <c r="H175" s="464">
        <f t="shared" si="15"/>
        <v>289.24</v>
      </c>
      <c r="I175" s="464">
        <v>0</v>
      </c>
      <c r="J175" s="464">
        <f t="shared" si="13"/>
        <v>289.24</v>
      </c>
      <c r="K175" s="299"/>
      <c r="L175" s="179"/>
    </row>
    <row r="176" spans="1:12" s="180" customFormat="1" hidden="1" outlineLevel="2" x14ac:dyDescent="0.25">
      <c r="A176" s="245" t="s">
        <v>896</v>
      </c>
      <c r="B176" s="245"/>
      <c r="C176" s="246" t="s">
        <v>326</v>
      </c>
      <c r="D176" s="247" t="s">
        <v>45</v>
      </c>
      <c r="E176" s="336">
        <v>2</v>
      </c>
      <c r="F176" s="461"/>
      <c r="G176" s="491">
        <v>4500</v>
      </c>
      <c r="H176" s="464">
        <f t="shared" si="15"/>
        <v>0</v>
      </c>
      <c r="I176" s="464">
        <f t="shared" ref="I176:I207" si="17">G176*E176</f>
        <v>9000</v>
      </c>
      <c r="J176" s="464">
        <f t="shared" si="13"/>
        <v>9000</v>
      </c>
      <c r="K176" s="297"/>
      <c r="L176" s="179"/>
    </row>
    <row r="177" spans="1:33" s="180" customFormat="1" ht="35.25" hidden="1" customHeight="1" outlineLevel="2" x14ac:dyDescent="0.25">
      <c r="A177" s="245" t="s">
        <v>897</v>
      </c>
      <c r="B177" s="245"/>
      <c r="C177" s="250" t="s">
        <v>327</v>
      </c>
      <c r="D177" s="178" t="s">
        <v>276</v>
      </c>
      <c r="E177" s="177">
        <v>2</v>
      </c>
      <c r="F177" s="461">
        <v>8060</v>
      </c>
      <c r="G177" s="491">
        <v>0</v>
      </c>
      <c r="H177" s="464">
        <f t="shared" si="15"/>
        <v>16120</v>
      </c>
      <c r="I177" s="464">
        <f t="shared" si="17"/>
        <v>0</v>
      </c>
      <c r="J177" s="464">
        <f t="shared" si="13"/>
        <v>16120</v>
      </c>
      <c r="K177" s="297"/>
      <c r="L177" s="179"/>
    </row>
    <row r="178" spans="1:33" s="180" customFormat="1" ht="17.25" hidden="1" customHeight="1" outlineLevel="2" x14ac:dyDescent="0.25">
      <c r="A178" s="245" t="s">
        <v>898</v>
      </c>
      <c r="B178" s="245"/>
      <c r="C178" s="246" t="s">
        <v>280</v>
      </c>
      <c r="D178" s="247" t="s">
        <v>45</v>
      </c>
      <c r="E178" s="336">
        <v>1</v>
      </c>
      <c r="F178" s="461"/>
      <c r="G178" s="491">
        <v>14500</v>
      </c>
      <c r="H178" s="464">
        <f t="shared" si="15"/>
        <v>0</v>
      </c>
      <c r="I178" s="464">
        <f t="shared" si="17"/>
        <v>14500</v>
      </c>
      <c r="J178" s="464">
        <f t="shared" si="13"/>
        <v>14500</v>
      </c>
      <c r="K178" s="297"/>
      <c r="L178" s="756" t="s">
        <v>646</v>
      </c>
    </row>
    <row r="179" spans="1:33" s="180" customFormat="1" hidden="1" outlineLevel="2" x14ac:dyDescent="0.25">
      <c r="A179" s="245" t="s">
        <v>899</v>
      </c>
      <c r="B179" s="249"/>
      <c r="C179" s="250" t="s">
        <v>281</v>
      </c>
      <c r="D179" s="178" t="s">
        <v>276</v>
      </c>
      <c r="E179" s="178">
        <v>1</v>
      </c>
      <c r="F179" s="464">
        <v>7950</v>
      </c>
      <c r="G179" s="491">
        <v>0</v>
      </c>
      <c r="H179" s="464">
        <f t="shared" si="15"/>
        <v>7950</v>
      </c>
      <c r="I179" s="464">
        <f t="shared" si="17"/>
        <v>0</v>
      </c>
      <c r="J179" s="464">
        <f t="shared" si="13"/>
        <v>7950</v>
      </c>
      <c r="K179" s="299" t="s">
        <v>282</v>
      </c>
      <c r="L179" s="757"/>
    </row>
    <row r="180" spans="1:33" s="180" customFormat="1" hidden="1" outlineLevel="2" x14ac:dyDescent="0.25">
      <c r="A180" s="245" t="s">
        <v>900</v>
      </c>
      <c r="B180" s="249"/>
      <c r="C180" s="250" t="s">
        <v>283</v>
      </c>
      <c r="D180" s="178" t="s">
        <v>276</v>
      </c>
      <c r="E180" s="178">
        <v>1</v>
      </c>
      <c r="F180" s="484">
        <v>5150</v>
      </c>
      <c r="G180" s="491">
        <v>0</v>
      </c>
      <c r="H180" s="464">
        <f t="shared" si="15"/>
        <v>5150</v>
      </c>
      <c r="I180" s="464">
        <f t="shared" si="17"/>
        <v>0</v>
      </c>
      <c r="J180" s="464">
        <f t="shared" si="13"/>
        <v>5150</v>
      </c>
      <c r="K180" s="299" t="s">
        <v>282</v>
      </c>
      <c r="L180" s="757"/>
    </row>
    <row r="181" spans="1:33" s="180" customFormat="1" hidden="1" outlineLevel="2" x14ac:dyDescent="0.25">
      <c r="A181" s="245" t="s">
        <v>901</v>
      </c>
      <c r="B181" s="249"/>
      <c r="C181" s="250" t="s">
        <v>284</v>
      </c>
      <c r="D181" s="178" t="s">
        <v>276</v>
      </c>
      <c r="E181" s="178">
        <v>3</v>
      </c>
      <c r="F181" s="484">
        <v>1100</v>
      </c>
      <c r="G181" s="491">
        <v>0</v>
      </c>
      <c r="H181" s="464">
        <f t="shared" si="15"/>
        <v>3300</v>
      </c>
      <c r="I181" s="464">
        <f t="shared" si="17"/>
        <v>0</v>
      </c>
      <c r="J181" s="464">
        <f t="shared" si="13"/>
        <v>3300</v>
      </c>
      <c r="K181" s="299" t="s">
        <v>282</v>
      </c>
      <c r="L181" s="758"/>
    </row>
    <row r="182" spans="1:33" s="180" customFormat="1" hidden="1" outlineLevel="2" x14ac:dyDescent="0.25">
      <c r="A182" s="245" t="s">
        <v>553</v>
      </c>
      <c r="B182" s="245"/>
      <c r="C182" s="246" t="s">
        <v>364</v>
      </c>
      <c r="D182" s="247" t="s">
        <v>60</v>
      </c>
      <c r="E182" s="336">
        <v>30</v>
      </c>
      <c r="F182" s="461">
        <v>0</v>
      </c>
      <c r="G182" s="491">
        <v>175</v>
      </c>
      <c r="H182" s="464">
        <f t="shared" si="15"/>
        <v>0</v>
      </c>
      <c r="I182" s="464">
        <f t="shared" si="17"/>
        <v>5250</v>
      </c>
      <c r="J182" s="464">
        <f t="shared" si="13"/>
        <v>5250</v>
      </c>
      <c r="K182" s="297"/>
      <c r="L182" s="179"/>
    </row>
    <row r="183" spans="1:33" s="180" customFormat="1" hidden="1" outlineLevel="2" x14ac:dyDescent="0.25">
      <c r="A183" s="245" t="s">
        <v>902</v>
      </c>
      <c r="B183" s="249"/>
      <c r="C183" s="250" t="s">
        <v>365</v>
      </c>
      <c r="D183" s="178" t="s">
        <v>60</v>
      </c>
      <c r="E183" s="178">
        <v>30</v>
      </c>
      <c r="F183" s="484">
        <v>543</v>
      </c>
      <c r="G183" s="491">
        <v>0</v>
      </c>
      <c r="H183" s="464">
        <f t="shared" si="15"/>
        <v>16290</v>
      </c>
      <c r="I183" s="464">
        <f t="shared" si="17"/>
        <v>0</v>
      </c>
      <c r="J183" s="464">
        <f t="shared" si="13"/>
        <v>16290</v>
      </c>
      <c r="K183" s="299" t="s">
        <v>366</v>
      </c>
      <c r="L183" s="179"/>
    </row>
    <row r="184" spans="1:33" s="180" customFormat="1" hidden="1" outlineLevel="2" x14ac:dyDescent="0.25">
      <c r="A184" s="245" t="s">
        <v>903</v>
      </c>
      <c r="B184" s="245"/>
      <c r="C184" s="246" t="s">
        <v>368</v>
      </c>
      <c r="D184" s="247" t="s">
        <v>60</v>
      </c>
      <c r="E184" s="336">
        <v>9.1</v>
      </c>
      <c r="F184" s="461"/>
      <c r="G184" s="491">
        <v>871</v>
      </c>
      <c r="H184" s="464">
        <f t="shared" si="15"/>
        <v>0</v>
      </c>
      <c r="I184" s="464">
        <f t="shared" si="17"/>
        <v>7926.1</v>
      </c>
      <c r="J184" s="464">
        <f t="shared" si="13"/>
        <v>7926.1</v>
      </c>
      <c r="K184" s="297"/>
      <c r="L184" s="179"/>
    </row>
    <row r="185" spans="1:33" s="180" customFormat="1" hidden="1" outlineLevel="2" x14ac:dyDescent="0.25">
      <c r="A185" s="245" t="s">
        <v>904</v>
      </c>
      <c r="B185" s="249"/>
      <c r="C185" s="250" t="s">
        <v>369</v>
      </c>
      <c r="D185" s="178" t="s">
        <v>60</v>
      </c>
      <c r="E185" s="178">
        <v>9.1</v>
      </c>
      <c r="F185" s="484">
        <v>3483.25</v>
      </c>
      <c r="G185" s="524">
        <v>0</v>
      </c>
      <c r="H185" s="464">
        <f t="shared" si="15"/>
        <v>31697.58</v>
      </c>
      <c r="I185" s="464">
        <f t="shared" si="17"/>
        <v>0</v>
      </c>
      <c r="J185" s="464">
        <f t="shared" si="13"/>
        <v>31697.58</v>
      </c>
      <c r="K185" s="299"/>
      <c r="L185" s="179"/>
    </row>
    <row r="186" spans="1:33" s="180" customFormat="1" ht="24" hidden="1" customHeight="1" outlineLevel="2" x14ac:dyDescent="0.25">
      <c r="A186" s="245" t="s">
        <v>536</v>
      </c>
      <c r="B186" s="245"/>
      <c r="C186" s="246" t="s">
        <v>371</v>
      </c>
      <c r="D186" s="247" t="s">
        <v>60</v>
      </c>
      <c r="E186" s="247">
        <v>4</v>
      </c>
      <c r="F186" s="461"/>
      <c r="G186" s="491">
        <v>2780</v>
      </c>
      <c r="H186" s="464">
        <f t="shared" si="15"/>
        <v>0</v>
      </c>
      <c r="I186" s="464">
        <f t="shared" si="17"/>
        <v>11120</v>
      </c>
      <c r="J186" s="464">
        <f t="shared" si="13"/>
        <v>11120</v>
      </c>
      <c r="K186" s="297"/>
      <c r="L186" s="179"/>
    </row>
    <row r="187" spans="1:33" s="180" customFormat="1" hidden="1" outlineLevel="2" x14ac:dyDescent="0.25">
      <c r="A187" s="245" t="s">
        <v>905</v>
      </c>
      <c r="B187" s="249"/>
      <c r="C187" s="250" t="s">
        <v>372</v>
      </c>
      <c r="D187" s="178" t="s">
        <v>60</v>
      </c>
      <c r="E187" s="178">
        <v>4</v>
      </c>
      <c r="F187" s="484">
        <v>1848</v>
      </c>
      <c r="G187" s="491">
        <v>0</v>
      </c>
      <c r="H187" s="464">
        <f t="shared" si="15"/>
        <v>7392</v>
      </c>
      <c r="I187" s="464">
        <f t="shared" si="17"/>
        <v>0</v>
      </c>
      <c r="J187" s="464">
        <f t="shared" si="13"/>
        <v>7392</v>
      </c>
      <c r="K187" s="299" t="s">
        <v>296</v>
      </c>
      <c r="L187" s="179"/>
    </row>
    <row r="188" spans="1:33" s="180" customFormat="1" ht="24.75" hidden="1" customHeight="1" outlineLevel="2" x14ac:dyDescent="0.25">
      <c r="A188" s="245" t="s">
        <v>906</v>
      </c>
      <c r="B188" s="245"/>
      <c r="C188" s="246" t="s">
        <v>374</v>
      </c>
      <c r="D188" s="247" t="s">
        <v>89</v>
      </c>
      <c r="E188" s="336">
        <v>23.7</v>
      </c>
      <c r="F188" s="461"/>
      <c r="G188" s="491">
        <v>780</v>
      </c>
      <c r="H188" s="464">
        <f t="shared" si="15"/>
        <v>0</v>
      </c>
      <c r="I188" s="464">
        <f t="shared" si="17"/>
        <v>18486</v>
      </c>
      <c r="J188" s="464">
        <f t="shared" si="13"/>
        <v>18486</v>
      </c>
      <c r="K188" s="297"/>
      <c r="L188" s="179"/>
    </row>
    <row r="189" spans="1:33" s="180" customFormat="1" hidden="1" outlineLevel="2" x14ac:dyDescent="0.25">
      <c r="A189" s="245" t="s">
        <v>907</v>
      </c>
      <c r="B189" s="249"/>
      <c r="C189" s="250" t="s">
        <v>375</v>
      </c>
      <c r="D189" s="178" t="s">
        <v>89</v>
      </c>
      <c r="E189" s="177">
        <v>23.7</v>
      </c>
      <c r="F189" s="484">
        <v>41</v>
      </c>
      <c r="G189" s="491">
        <v>0</v>
      </c>
      <c r="H189" s="464">
        <f t="shared" si="15"/>
        <v>971.7</v>
      </c>
      <c r="I189" s="464">
        <f t="shared" si="17"/>
        <v>0</v>
      </c>
      <c r="J189" s="464">
        <f t="shared" si="13"/>
        <v>971.7</v>
      </c>
      <c r="K189" s="299"/>
      <c r="L189" s="179"/>
    </row>
    <row r="190" spans="1:33" s="63" customFormat="1" ht="30" hidden="1" customHeight="1" outlineLevel="1" x14ac:dyDescent="0.25">
      <c r="A190" s="245" t="s">
        <v>908</v>
      </c>
      <c r="B190" s="120" t="s">
        <v>379</v>
      </c>
      <c r="C190" s="130" t="s">
        <v>329</v>
      </c>
      <c r="D190" s="138" t="s">
        <v>54</v>
      </c>
      <c r="E190" s="121">
        <v>1</v>
      </c>
      <c r="F190" s="460"/>
      <c r="G190" s="506">
        <v>98775</v>
      </c>
      <c r="H190" s="460"/>
      <c r="I190" s="460">
        <f t="shared" si="17"/>
        <v>98775</v>
      </c>
      <c r="J190" s="460">
        <f t="shared" si="13"/>
        <v>98775</v>
      </c>
      <c r="K190" s="300" t="s">
        <v>330</v>
      </c>
      <c r="L190" s="65"/>
      <c r="M190" s="338"/>
      <c r="N190" s="338"/>
      <c r="O190" s="338"/>
      <c r="P190" s="338"/>
      <c r="Q190" s="338"/>
      <c r="R190" s="338"/>
      <c r="S190" s="338"/>
      <c r="T190" s="338"/>
      <c r="U190" s="338"/>
      <c r="V190" s="338"/>
      <c r="W190" s="338"/>
      <c r="X190" s="338"/>
      <c r="Y190" s="338"/>
      <c r="Z190" s="338"/>
      <c r="AA190" s="338"/>
      <c r="AB190" s="338"/>
      <c r="AC190" s="338"/>
      <c r="AD190" s="338"/>
      <c r="AE190" s="338"/>
      <c r="AF190" s="338"/>
      <c r="AG190" s="338"/>
    </row>
    <row r="191" spans="1:33" s="180" customFormat="1" hidden="1" outlineLevel="2" x14ac:dyDescent="0.25">
      <c r="A191" s="245" t="s">
        <v>909</v>
      </c>
      <c r="B191" s="249"/>
      <c r="C191" s="250" t="s">
        <v>305</v>
      </c>
      <c r="D191" s="178" t="s">
        <v>45</v>
      </c>
      <c r="E191" s="177">
        <v>2</v>
      </c>
      <c r="F191" s="461">
        <v>2315</v>
      </c>
      <c r="G191" s="491">
        <v>0</v>
      </c>
      <c r="H191" s="464">
        <f t="shared" ref="H191:H220" si="18">F191*E191</f>
        <v>4630</v>
      </c>
      <c r="I191" s="464">
        <f t="shared" si="17"/>
        <v>0</v>
      </c>
      <c r="J191" s="464">
        <f t="shared" si="13"/>
        <v>4630</v>
      </c>
      <c r="K191" s="299"/>
      <c r="L191" s="179"/>
    </row>
    <row r="192" spans="1:33" s="180" customFormat="1" hidden="1" outlineLevel="2" x14ac:dyDescent="0.25">
      <c r="A192" s="245" t="s">
        <v>910</v>
      </c>
      <c r="B192" s="249"/>
      <c r="C192" s="250" t="s">
        <v>331</v>
      </c>
      <c r="D192" s="178" t="s">
        <v>45</v>
      </c>
      <c r="E192" s="177">
        <v>1</v>
      </c>
      <c r="F192" s="461">
        <v>20358</v>
      </c>
      <c r="G192" s="491">
        <v>0</v>
      </c>
      <c r="H192" s="464">
        <f t="shared" si="18"/>
        <v>20358</v>
      </c>
      <c r="I192" s="464">
        <f t="shared" si="17"/>
        <v>0</v>
      </c>
      <c r="J192" s="464">
        <f t="shared" si="13"/>
        <v>20358</v>
      </c>
      <c r="K192" s="299" t="s">
        <v>1290</v>
      </c>
      <c r="L192" s="179"/>
    </row>
    <row r="193" spans="1:12" s="180" customFormat="1" hidden="1" outlineLevel="2" x14ac:dyDescent="0.25">
      <c r="A193" s="245" t="s">
        <v>911</v>
      </c>
      <c r="B193" s="249"/>
      <c r="C193" s="250" t="s">
        <v>332</v>
      </c>
      <c r="D193" s="525" t="s">
        <v>45</v>
      </c>
      <c r="E193" s="469">
        <v>1</v>
      </c>
      <c r="F193" s="461">
        <v>1532</v>
      </c>
      <c r="G193" s="491">
        <v>0</v>
      </c>
      <c r="H193" s="464">
        <f t="shared" si="18"/>
        <v>1532</v>
      </c>
      <c r="I193" s="464">
        <f t="shared" si="17"/>
        <v>0</v>
      </c>
      <c r="J193" s="464">
        <f t="shared" si="13"/>
        <v>1532</v>
      </c>
      <c r="K193" s="299" t="s">
        <v>333</v>
      </c>
      <c r="L193" s="179"/>
    </row>
    <row r="194" spans="1:12" s="180" customFormat="1" hidden="1" outlineLevel="2" x14ac:dyDescent="0.25">
      <c r="A194" s="245" t="s">
        <v>912</v>
      </c>
      <c r="B194" s="249"/>
      <c r="C194" s="250" t="s">
        <v>334</v>
      </c>
      <c r="D194" s="178" t="s">
        <v>45</v>
      </c>
      <c r="E194" s="177">
        <v>1</v>
      </c>
      <c r="F194" s="461">
        <v>1132</v>
      </c>
      <c r="G194" s="491">
        <v>0</v>
      </c>
      <c r="H194" s="464">
        <f t="shared" si="18"/>
        <v>1132</v>
      </c>
      <c r="I194" s="464">
        <f t="shared" si="17"/>
        <v>0</v>
      </c>
      <c r="J194" s="464">
        <f t="shared" si="13"/>
        <v>1132</v>
      </c>
      <c r="K194" s="299"/>
      <c r="L194" s="179"/>
    </row>
    <row r="195" spans="1:12" s="180" customFormat="1" hidden="1" outlineLevel="2" x14ac:dyDescent="0.25">
      <c r="A195" s="245" t="s">
        <v>913</v>
      </c>
      <c r="B195" s="249"/>
      <c r="C195" s="250" t="s">
        <v>335</v>
      </c>
      <c r="D195" s="178" t="s">
        <v>45</v>
      </c>
      <c r="E195" s="177">
        <v>1</v>
      </c>
      <c r="F195" s="461">
        <v>1475.25</v>
      </c>
      <c r="G195" s="491">
        <v>0</v>
      </c>
      <c r="H195" s="464">
        <f t="shared" si="18"/>
        <v>1475.25</v>
      </c>
      <c r="I195" s="464">
        <f t="shared" si="17"/>
        <v>0</v>
      </c>
      <c r="J195" s="464">
        <f t="shared" ref="J195:J232" si="19">H195+I195</f>
        <v>1475.25</v>
      </c>
      <c r="K195" s="299"/>
      <c r="L195" s="179"/>
    </row>
    <row r="196" spans="1:12" s="180" customFormat="1" hidden="1" outlineLevel="2" x14ac:dyDescent="0.25">
      <c r="A196" s="245" t="s">
        <v>914</v>
      </c>
      <c r="B196" s="249"/>
      <c r="C196" s="250" t="s">
        <v>336</v>
      </c>
      <c r="D196" s="178" t="s">
        <v>45</v>
      </c>
      <c r="E196" s="177">
        <v>1</v>
      </c>
      <c r="F196" s="461">
        <v>3450</v>
      </c>
      <c r="G196" s="491">
        <v>0</v>
      </c>
      <c r="H196" s="464">
        <f t="shared" si="18"/>
        <v>3450</v>
      </c>
      <c r="I196" s="464">
        <f t="shared" si="17"/>
        <v>0</v>
      </c>
      <c r="J196" s="464">
        <f t="shared" si="19"/>
        <v>3450</v>
      </c>
      <c r="K196" s="299"/>
      <c r="L196" s="179"/>
    </row>
    <row r="197" spans="1:12" s="180" customFormat="1" hidden="1" outlineLevel="2" x14ac:dyDescent="0.25">
      <c r="A197" s="245" t="s">
        <v>915</v>
      </c>
      <c r="B197" s="249"/>
      <c r="C197" s="250" t="s">
        <v>337</v>
      </c>
      <c r="D197" s="178" t="s">
        <v>45</v>
      </c>
      <c r="E197" s="177">
        <v>1</v>
      </c>
      <c r="F197" s="464">
        <v>87000</v>
      </c>
      <c r="G197" s="491">
        <v>0</v>
      </c>
      <c r="H197" s="464">
        <f t="shared" si="18"/>
        <v>87000</v>
      </c>
      <c r="I197" s="464">
        <f t="shared" si="17"/>
        <v>0</v>
      </c>
      <c r="J197" s="464">
        <f t="shared" si="19"/>
        <v>87000</v>
      </c>
      <c r="K197" s="299"/>
      <c r="L197" s="179"/>
    </row>
    <row r="198" spans="1:12" s="180" customFormat="1" ht="18.75" hidden="1" customHeight="1" outlineLevel="2" x14ac:dyDescent="0.25">
      <c r="A198" s="245" t="s">
        <v>916</v>
      </c>
      <c r="B198" s="249"/>
      <c r="C198" s="250" t="s">
        <v>338</v>
      </c>
      <c r="D198" s="178" t="s">
        <v>45</v>
      </c>
      <c r="E198" s="177">
        <v>1</v>
      </c>
      <c r="F198" s="461">
        <v>2100</v>
      </c>
      <c r="G198" s="491">
        <v>0</v>
      </c>
      <c r="H198" s="464">
        <f t="shared" si="18"/>
        <v>2100</v>
      </c>
      <c r="I198" s="464">
        <f t="shared" si="17"/>
        <v>0</v>
      </c>
      <c r="J198" s="464">
        <f t="shared" si="19"/>
        <v>2100</v>
      </c>
      <c r="K198" s="299" t="s">
        <v>333</v>
      </c>
      <c r="L198" s="179"/>
    </row>
    <row r="199" spans="1:12" s="180" customFormat="1" hidden="1" outlineLevel="2" x14ac:dyDescent="0.25">
      <c r="A199" s="245" t="s">
        <v>917</v>
      </c>
      <c r="B199" s="249"/>
      <c r="C199" s="250" t="s">
        <v>339</v>
      </c>
      <c r="D199" s="178" t="s">
        <v>45</v>
      </c>
      <c r="E199" s="177">
        <v>1</v>
      </c>
      <c r="F199" s="461">
        <v>280.2</v>
      </c>
      <c r="G199" s="491">
        <v>0</v>
      </c>
      <c r="H199" s="464">
        <f t="shared" si="18"/>
        <v>280.2</v>
      </c>
      <c r="I199" s="464">
        <f t="shared" si="17"/>
        <v>0</v>
      </c>
      <c r="J199" s="464">
        <f t="shared" si="19"/>
        <v>280.2</v>
      </c>
      <c r="K199" s="299"/>
      <c r="L199" s="179"/>
    </row>
    <row r="200" spans="1:12" s="180" customFormat="1" hidden="1" outlineLevel="2" x14ac:dyDescent="0.25">
      <c r="A200" s="245" t="s">
        <v>918</v>
      </c>
      <c r="B200" s="249"/>
      <c r="C200" s="250" t="s">
        <v>340</v>
      </c>
      <c r="D200" s="178" t="s">
        <v>45</v>
      </c>
      <c r="E200" s="177">
        <v>1</v>
      </c>
      <c r="F200" s="461">
        <v>99.7</v>
      </c>
      <c r="G200" s="491">
        <v>0</v>
      </c>
      <c r="H200" s="464">
        <f t="shared" si="18"/>
        <v>99.7</v>
      </c>
      <c r="I200" s="464">
        <f t="shared" si="17"/>
        <v>0</v>
      </c>
      <c r="J200" s="464">
        <f t="shared" si="19"/>
        <v>99.7</v>
      </c>
      <c r="K200" s="299"/>
      <c r="L200" s="179"/>
    </row>
    <row r="201" spans="1:12" s="180" customFormat="1" hidden="1" outlineLevel="2" x14ac:dyDescent="0.25">
      <c r="A201" s="245" t="s">
        <v>919</v>
      </c>
      <c r="B201" s="249"/>
      <c r="C201" s="250" t="s">
        <v>341</v>
      </c>
      <c r="D201" s="178" t="s">
        <v>45</v>
      </c>
      <c r="E201" s="177">
        <v>1</v>
      </c>
      <c r="F201" s="461">
        <v>160</v>
      </c>
      <c r="G201" s="491">
        <v>0</v>
      </c>
      <c r="H201" s="464">
        <f t="shared" si="18"/>
        <v>160</v>
      </c>
      <c r="I201" s="464">
        <f t="shared" si="17"/>
        <v>0</v>
      </c>
      <c r="J201" s="464">
        <f t="shared" si="19"/>
        <v>160</v>
      </c>
      <c r="K201" s="299"/>
      <c r="L201" s="179"/>
    </row>
    <row r="202" spans="1:12" s="180" customFormat="1" hidden="1" outlineLevel="2" x14ac:dyDescent="0.25">
      <c r="A202" s="245" t="s">
        <v>920</v>
      </c>
      <c r="B202" s="249"/>
      <c r="C202" s="250" t="s">
        <v>342</v>
      </c>
      <c r="D202" s="178" t="s">
        <v>45</v>
      </c>
      <c r="E202" s="177">
        <v>4</v>
      </c>
      <c r="F202" s="461">
        <v>1046.22</v>
      </c>
      <c r="G202" s="491">
        <v>0</v>
      </c>
      <c r="H202" s="464">
        <f t="shared" si="18"/>
        <v>4184.88</v>
      </c>
      <c r="I202" s="464">
        <f t="shared" si="17"/>
        <v>0</v>
      </c>
      <c r="J202" s="464">
        <f t="shared" si="19"/>
        <v>4184.88</v>
      </c>
      <c r="K202" s="299"/>
      <c r="L202" s="179"/>
    </row>
    <row r="203" spans="1:12" s="180" customFormat="1" hidden="1" outlineLevel="2" x14ac:dyDescent="0.25">
      <c r="A203" s="245" t="s">
        <v>921</v>
      </c>
      <c r="B203" s="249"/>
      <c r="C203" s="250" t="s">
        <v>343</v>
      </c>
      <c r="D203" s="178" t="s">
        <v>45</v>
      </c>
      <c r="E203" s="177">
        <v>4</v>
      </c>
      <c r="F203" s="461">
        <v>2280</v>
      </c>
      <c r="G203" s="491">
        <v>0</v>
      </c>
      <c r="H203" s="464">
        <f t="shared" si="18"/>
        <v>9120</v>
      </c>
      <c r="I203" s="464">
        <f t="shared" si="17"/>
        <v>0</v>
      </c>
      <c r="J203" s="464">
        <f t="shared" si="19"/>
        <v>9120</v>
      </c>
      <c r="K203" s="299"/>
      <c r="L203" s="179"/>
    </row>
    <row r="204" spans="1:12" s="180" customFormat="1" hidden="1" outlineLevel="2" x14ac:dyDescent="0.25">
      <c r="A204" s="245" t="s">
        <v>922</v>
      </c>
      <c r="B204" s="249"/>
      <c r="C204" s="250" t="s">
        <v>344</v>
      </c>
      <c r="D204" s="178" t="s">
        <v>45</v>
      </c>
      <c r="E204" s="177">
        <v>1</v>
      </c>
      <c r="F204" s="461">
        <v>68</v>
      </c>
      <c r="G204" s="491">
        <v>0</v>
      </c>
      <c r="H204" s="464">
        <f t="shared" si="18"/>
        <v>68</v>
      </c>
      <c r="I204" s="464">
        <f t="shared" si="17"/>
        <v>0</v>
      </c>
      <c r="J204" s="464">
        <f t="shared" si="19"/>
        <v>68</v>
      </c>
      <c r="K204" s="299"/>
      <c r="L204" s="179"/>
    </row>
    <row r="205" spans="1:12" s="180" customFormat="1" hidden="1" outlineLevel="2" x14ac:dyDescent="0.25">
      <c r="A205" s="245" t="s">
        <v>923</v>
      </c>
      <c r="B205" s="249"/>
      <c r="C205" s="250" t="s">
        <v>345</v>
      </c>
      <c r="D205" s="178" t="s">
        <v>45</v>
      </c>
      <c r="E205" s="177">
        <v>1</v>
      </c>
      <c r="F205" s="461">
        <v>312</v>
      </c>
      <c r="G205" s="491">
        <v>0</v>
      </c>
      <c r="H205" s="464">
        <f t="shared" si="18"/>
        <v>312</v>
      </c>
      <c r="I205" s="464">
        <f t="shared" si="17"/>
        <v>0</v>
      </c>
      <c r="J205" s="464">
        <f t="shared" si="19"/>
        <v>312</v>
      </c>
      <c r="K205" s="299"/>
      <c r="L205" s="179"/>
    </row>
    <row r="206" spans="1:12" s="180" customFormat="1" hidden="1" outlineLevel="2" x14ac:dyDescent="0.25">
      <c r="A206" s="245" t="s">
        <v>924</v>
      </c>
      <c r="B206" s="249"/>
      <c r="C206" s="250" t="s">
        <v>346</v>
      </c>
      <c r="D206" s="178" t="s">
        <v>45</v>
      </c>
      <c r="E206" s="177">
        <v>4</v>
      </c>
      <c r="F206" s="461">
        <v>10617</v>
      </c>
      <c r="G206" s="491">
        <v>0</v>
      </c>
      <c r="H206" s="464">
        <f t="shared" si="18"/>
        <v>42468</v>
      </c>
      <c r="I206" s="464">
        <f t="shared" si="17"/>
        <v>0</v>
      </c>
      <c r="J206" s="464">
        <f t="shared" si="19"/>
        <v>42468</v>
      </c>
      <c r="K206" s="299"/>
      <c r="L206" s="179"/>
    </row>
    <row r="207" spans="1:12" s="180" customFormat="1" ht="25.5" hidden="1" outlineLevel="2" x14ac:dyDescent="0.25">
      <c r="A207" s="245" t="s">
        <v>925</v>
      </c>
      <c r="B207" s="249"/>
      <c r="C207" s="250" t="s">
        <v>347</v>
      </c>
      <c r="D207" s="178" t="s">
        <v>60</v>
      </c>
      <c r="E207" s="177">
        <v>2</v>
      </c>
      <c r="F207" s="461">
        <v>65.8</v>
      </c>
      <c r="G207" s="491">
        <v>0</v>
      </c>
      <c r="H207" s="464">
        <f t="shared" si="18"/>
        <v>131.6</v>
      </c>
      <c r="I207" s="464">
        <f t="shared" si="17"/>
        <v>0</v>
      </c>
      <c r="J207" s="464">
        <f t="shared" si="19"/>
        <v>131.6</v>
      </c>
      <c r="K207" s="299" t="s">
        <v>333</v>
      </c>
      <c r="L207" s="179"/>
    </row>
    <row r="208" spans="1:12" s="180" customFormat="1" ht="36.75" hidden="1" customHeight="1" outlineLevel="2" x14ac:dyDescent="0.25">
      <c r="A208" s="245" t="s">
        <v>926</v>
      </c>
      <c r="B208" s="249"/>
      <c r="C208" s="250" t="s">
        <v>348</v>
      </c>
      <c r="D208" s="178" t="s">
        <v>60</v>
      </c>
      <c r="E208" s="177">
        <v>2</v>
      </c>
      <c r="F208" s="461">
        <v>65.8</v>
      </c>
      <c r="G208" s="491">
        <v>0</v>
      </c>
      <c r="H208" s="464">
        <f t="shared" si="18"/>
        <v>131.6</v>
      </c>
      <c r="I208" s="464">
        <f t="shared" ref="I208:I228" si="20">G208*E208</f>
        <v>0</v>
      </c>
      <c r="J208" s="464">
        <f t="shared" si="19"/>
        <v>131.6</v>
      </c>
      <c r="K208" s="299"/>
      <c r="L208" s="179"/>
    </row>
    <row r="209" spans="1:33" s="180" customFormat="1" hidden="1" outlineLevel="2" x14ac:dyDescent="0.25">
      <c r="A209" s="245" t="s">
        <v>927</v>
      </c>
      <c r="B209" s="249"/>
      <c r="C209" s="250" t="s">
        <v>349</v>
      </c>
      <c r="D209" s="178" t="s">
        <v>60</v>
      </c>
      <c r="E209" s="177">
        <v>20</v>
      </c>
      <c r="F209" s="461">
        <v>179</v>
      </c>
      <c r="G209" s="491">
        <v>0</v>
      </c>
      <c r="H209" s="464">
        <f t="shared" si="18"/>
        <v>3580</v>
      </c>
      <c r="I209" s="464">
        <f t="shared" si="20"/>
        <v>0</v>
      </c>
      <c r="J209" s="464">
        <f t="shared" si="19"/>
        <v>3580</v>
      </c>
      <c r="K209" s="299" t="s">
        <v>350</v>
      </c>
      <c r="L209" s="179"/>
    </row>
    <row r="210" spans="1:33" s="180" customFormat="1" hidden="1" outlineLevel="2" x14ac:dyDescent="0.25">
      <c r="A210" s="245" t="s">
        <v>928</v>
      </c>
      <c r="B210" s="249"/>
      <c r="C210" s="250" t="s">
        <v>351</v>
      </c>
      <c r="D210" s="178" t="s">
        <v>60</v>
      </c>
      <c r="E210" s="177">
        <v>20</v>
      </c>
      <c r="F210" s="461">
        <v>86</v>
      </c>
      <c r="G210" s="491">
        <v>0</v>
      </c>
      <c r="H210" s="464">
        <f t="shared" si="18"/>
        <v>1720</v>
      </c>
      <c r="I210" s="464">
        <f t="shared" si="20"/>
        <v>0</v>
      </c>
      <c r="J210" s="464">
        <f t="shared" si="19"/>
        <v>1720</v>
      </c>
      <c r="K210" s="299"/>
      <c r="L210" s="179"/>
    </row>
    <row r="211" spans="1:33" s="180" customFormat="1" hidden="1" outlineLevel="2" x14ac:dyDescent="0.25">
      <c r="A211" s="245" t="s">
        <v>929</v>
      </c>
      <c r="B211" s="249"/>
      <c r="C211" s="250" t="s">
        <v>352</v>
      </c>
      <c r="D211" s="178" t="s">
        <v>276</v>
      </c>
      <c r="E211" s="177">
        <v>1</v>
      </c>
      <c r="F211" s="461">
        <v>825</v>
      </c>
      <c r="G211" s="491">
        <v>0</v>
      </c>
      <c r="H211" s="464">
        <f t="shared" si="18"/>
        <v>825</v>
      </c>
      <c r="I211" s="464">
        <f t="shared" si="20"/>
        <v>0</v>
      </c>
      <c r="J211" s="464">
        <f t="shared" si="19"/>
        <v>825</v>
      </c>
      <c r="K211" s="299"/>
      <c r="L211" s="179"/>
    </row>
    <row r="212" spans="1:33" s="180" customFormat="1" hidden="1" outlineLevel="2" x14ac:dyDescent="0.25">
      <c r="A212" s="245" t="s">
        <v>930</v>
      </c>
      <c r="B212" s="249"/>
      <c r="C212" s="250" t="s">
        <v>353</v>
      </c>
      <c r="D212" s="178" t="s">
        <v>276</v>
      </c>
      <c r="E212" s="177">
        <v>1</v>
      </c>
      <c r="F212" s="461">
        <v>128</v>
      </c>
      <c r="G212" s="491">
        <v>0</v>
      </c>
      <c r="H212" s="464">
        <f t="shared" si="18"/>
        <v>128</v>
      </c>
      <c r="I212" s="464">
        <f t="shared" si="20"/>
        <v>0</v>
      </c>
      <c r="J212" s="464">
        <f t="shared" si="19"/>
        <v>128</v>
      </c>
      <c r="K212" s="299"/>
      <c r="L212" s="179"/>
    </row>
    <row r="213" spans="1:33" s="180" customFormat="1" hidden="1" outlineLevel="2" x14ac:dyDescent="0.25">
      <c r="A213" s="245" t="s">
        <v>931</v>
      </c>
      <c r="B213" s="249"/>
      <c r="C213" s="250" t="s">
        <v>354</v>
      </c>
      <c r="D213" s="178" t="s">
        <v>276</v>
      </c>
      <c r="E213" s="177">
        <v>1</v>
      </c>
      <c r="F213" s="461">
        <v>302</v>
      </c>
      <c r="G213" s="491">
        <v>0</v>
      </c>
      <c r="H213" s="464">
        <f t="shared" si="18"/>
        <v>302</v>
      </c>
      <c r="I213" s="464">
        <f t="shared" si="20"/>
        <v>0</v>
      </c>
      <c r="J213" s="464">
        <f t="shared" si="19"/>
        <v>302</v>
      </c>
      <c r="K213" s="299"/>
      <c r="L213" s="179"/>
    </row>
    <row r="214" spans="1:33" s="180" customFormat="1" hidden="1" outlineLevel="2" x14ac:dyDescent="0.25">
      <c r="A214" s="245" t="s">
        <v>932</v>
      </c>
      <c r="B214" s="249"/>
      <c r="C214" s="250" t="s">
        <v>355</v>
      </c>
      <c r="D214" s="178" t="s">
        <v>60</v>
      </c>
      <c r="E214" s="177">
        <v>20</v>
      </c>
      <c r="F214" s="461">
        <v>122.76</v>
      </c>
      <c r="G214" s="491">
        <v>0</v>
      </c>
      <c r="H214" s="464">
        <f t="shared" si="18"/>
        <v>2455.1999999999998</v>
      </c>
      <c r="I214" s="464">
        <f t="shared" si="20"/>
        <v>0</v>
      </c>
      <c r="J214" s="464">
        <f t="shared" si="19"/>
        <v>2455.1999999999998</v>
      </c>
      <c r="K214" s="299"/>
      <c r="L214" s="179"/>
    </row>
    <row r="215" spans="1:33" s="180" customFormat="1" hidden="1" outlineLevel="2" x14ac:dyDescent="0.25">
      <c r="A215" s="245" t="s">
        <v>933</v>
      </c>
      <c r="B215" s="249"/>
      <c r="C215" s="250" t="s">
        <v>356</v>
      </c>
      <c r="D215" s="178" t="s">
        <v>276</v>
      </c>
      <c r="E215" s="177">
        <v>20</v>
      </c>
      <c r="F215" s="461">
        <v>34</v>
      </c>
      <c r="G215" s="491">
        <v>0</v>
      </c>
      <c r="H215" s="464">
        <f t="shared" si="18"/>
        <v>680</v>
      </c>
      <c r="I215" s="464">
        <f t="shared" si="20"/>
        <v>0</v>
      </c>
      <c r="J215" s="464">
        <f t="shared" si="19"/>
        <v>680</v>
      </c>
      <c r="K215" s="299"/>
      <c r="L215" s="179"/>
    </row>
    <row r="216" spans="1:33" s="180" customFormat="1" hidden="1" outlineLevel="2" x14ac:dyDescent="0.25">
      <c r="A216" s="245" t="s">
        <v>934</v>
      </c>
      <c r="B216" s="249"/>
      <c r="C216" s="250" t="s">
        <v>357</v>
      </c>
      <c r="D216" s="178" t="s">
        <v>276</v>
      </c>
      <c r="E216" s="177">
        <v>10</v>
      </c>
      <c r="F216" s="461">
        <v>49</v>
      </c>
      <c r="G216" s="491">
        <v>0</v>
      </c>
      <c r="H216" s="464">
        <f t="shared" si="18"/>
        <v>490</v>
      </c>
      <c r="I216" s="464">
        <f t="shared" si="20"/>
        <v>0</v>
      </c>
      <c r="J216" s="464">
        <f t="shared" si="19"/>
        <v>490</v>
      </c>
      <c r="K216" s="299"/>
      <c r="L216" s="179"/>
    </row>
    <row r="217" spans="1:33" s="180" customFormat="1" hidden="1" outlineLevel="2" x14ac:dyDescent="0.25">
      <c r="A217" s="245" t="s">
        <v>935</v>
      </c>
      <c r="B217" s="249"/>
      <c r="C217" s="250" t="s">
        <v>358</v>
      </c>
      <c r="D217" s="178" t="s">
        <v>276</v>
      </c>
      <c r="E217" s="177">
        <v>1</v>
      </c>
      <c r="F217" s="461">
        <v>1957</v>
      </c>
      <c r="G217" s="491">
        <v>0</v>
      </c>
      <c r="H217" s="464">
        <f t="shared" si="18"/>
        <v>1957</v>
      </c>
      <c r="I217" s="464">
        <f t="shared" si="20"/>
        <v>0</v>
      </c>
      <c r="J217" s="464">
        <f t="shared" si="19"/>
        <v>1957</v>
      </c>
      <c r="K217" s="299"/>
      <c r="L217" s="179"/>
    </row>
    <row r="218" spans="1:33" s="180" customFormat="1" hidden="1" outlineLevel="2" x14ac:dyDescent="0.25">
      <c r="A218" s="245" t="s">
        <v>936</v>
      </c>
      <c r="B218" s="249"/>
      <c r="C218" s="250" t="s">
        <v>359</v>
      </c>
      <c r="D218" s="178" t="s">
        <v>276</v>
      </c>
      <c r="E218" s="177">
        <v>12</v>
      </c>
      <c r="F218" s="461">
        <v>54</v>
      </c>
      <c r="G218" s="491">
        <v>0</v>
      </c>
      <c r="H218" s="464">
        <f t="shared" si="18"/>
        <v>648</v>
      </c>
      <c r="I218" s="464">
        <f t="shared" si="20"/>
        <v>0</v>
      </c>
      <c r="J218" s="464">
        <f t="shared" si="19"/>
        <v>648</v>
      </c>
      <c r="K218" s="299"/>
      <c r="L218" s="179"/>
    </row>
    <row r="219" spans="1:33" s="180" customFormat="1" hidden="1" outlineLevel="2" x14ac:dyDescent="0.25">
      <c r="A219" s="245" t="s">
        <v>937</v>
      </c>
      <c r="B219" s="249"/>
      <c r="C219" s="250" t="s">
        <v>360</v>
      </c>
      <c r="D219" s="178" t="s">
        <v>60</v>
      </c>
      <c r="E219" s="177">
        <v>20</v>
      </c>
      <c r="F219" s="461">
        <v>322</v>
      </c>
      <c r="G219" s="491">
        <v>0</v>
      </c>
      <c r="H219" s="464">
        <f t="shared" si="18"/>
        <v>6440</v>
      </c>
      <c r="I219" s="464">
        <f t="shared" si="20"/>
        <v>0</v>
      </c>
      <c r="J219" s="464">
        <f t="shared" si="19"/>
        <v>6440</v>
      </c>
      <c r="K219" s="299"/>
      <c r="L219" s="179"/>
    </row>
    <row r="220" spans="1:33" s="180" customFormat="1" ht="25.5" hidden="1" outlineLevel="2" x14ac:dyDescent="0.25">
      <c r="A220" s="245" t="s">
        <v>938</v>
      </c>
      <c r="B220" s="249"/>
      <c r="C220" s="250" t="s">
        <v>361</v>
      </c>
      <c r="D220" s="178" t="s">
        <v>276</v>
      </c>
      <c r="E220" s="177">
        <v>1</v>
      </c>
      <c r="F220" s="461">
        <v>8384.25</v>
      </c>
      <c r="G220" s="491">
        <v>0</v>
      </c>
      <c r="H220" s="464">
        <f t="shared" si="18"/>
        <v>8384.25</v>
      </c>
      <c r="I220" s="464">
        <f t="shared" si="20"/>
        <v>0</v>
      </c>
      <c r="J220" s="464">
        <f t="shared" si="19"/>
        <v>8384.25</v>
      </c>
      <c r="K220" s="299" t="s">
        <v>362</v>
      </c>
      <c r="L220" s="179"/>
    </row>
    <row r="221" spans="1:33" s="27" customFormat="1" x14ac:dyDescent="0.25">
      <c r="A221" s="245" t="s">
        <v>939</v>
      </c>
      <c r="B221" s="379" t="s">
        <v>74</v>
      </c>
      <c r="C221" s="380" t="s">
        <v>715</v>
      </c>
      <c r="D221" s="423" t="s">
        <v>0</v>
      </c>
      <c r="E221" s="424">
        <f>E226</f>
        <v>4996</v>
      </c>
      <c r="F221" s="487"/>
      <c r="G221" s="507"/>
      <c r="H221" s="487"/>
      <c r="I221" s="415">
        <f t="shared" si="20"/>
        <v>0</v>
      </c>
      <c r="J221" s="415">
        <f t="shared" si="19"/>
        <v>0</v>
      </c>
      <c r="K221" s="392"/>
      <c r="L221" s="56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  <c r="AA221" s="180"/>
      <c r="AB221" s="180"/>
      <c r="AC221" s="180"/>
      <c r="AD221" s="180"/>
      <c r="AE221" s="180"/>
      <c r="AF221" s="180"/>
      <c r="AG221" s="180"/>
    </row>
    <row r="222" spans="1:33" s="558" customFormat="1" x14ac:dyDescent="0.25">
      <c r="A222" s="245" t="s">
        <v>940</v>
      </c>
      <c r="B222" s="334"/>
      <c r="C222" s="335" t="s">
        <v>707</v>
      </c>
      <c r="D222" s="336" t="s">
        <v>33</v>
      </c>
      <c r="E222" s="404">
        <f>E239+E264</f>
        <v>0.01</v>
      </c>
      <c r="F222" s="526"/>
      <c r="G222" s="520">
        <v>0</v>
      </c>
      <c r="H222" s="556">
        <f>F222*E222</f>
        <v>0</v>
      </c>
      <c r="I222" s="556">
        <f t="shared" si="20"/>
        <v>0</v>
      </c>
      <c r="J222" s="556">
        <f t="shared" si="19"/>
        <v>0</v>
      </c>
      <c r="K222" s="557"/>
      <c r="L222" s="11"/>
    </row>
    <row r="223" spans="1:33" s="558" customFormat="1" x14ac:dyDescent="0.25">
      <c r="A223" s="245" t="s">
        <v>941</v>
      </c>
      <c r="B223" s="334"/>
      <c r="C223" s="335" t="s">
        <v>708</v>
      </c>
      <c r="D223" s="336" t="s">
        <v>33</v>
      </c>
      <c r="E223" s="405">
        <f>E238+E263+E282+E298-E222</f>
        <v>661.82</v>
      </c>
      <c r="F223" s="526"/>
      <c r="G223" s="520">
        <v>0</v>
      </c>
      <c r="H223" s="556">
        <f>F223*E223</f>
        <v>0</v>
      </c>
      <c r="I223" s="556">
        <f t="shared" si="20"/>
        <v>0</v>
      </c>
      <c r="J223" s="556">
        <f t="shared" si="19"/>
        <v>0</v>
      </c>
      <c r="K223" s="557"/>
      <c r="L223" s="11"/>
    </row>
    <row r="224" spans="1:33" s="558" customFormat="1" x14ac:dyDescent="0.25">
      <c r="A224" s="245" t="s">
        <v>942</v>
      </c>
      <c r="B224" s="334"/>
      <c r="C224" s="335" t="s">
        <v>384</v>
      </c>
      <c r="D224" s="336" t="s">
        <v>0</v>
      </c>
      <c r="E224" s="405">
        <f>E230+E255+E278+E294</f>
        <v>294</v>
      </c>
      <c r="F224" s="526"/>
      <c r="G224" s="520">
        <v>0</v>
      </c>
      <c r="H224" s="556">
        <f>F224*E224</f>
        <v>0</v>
      </c>
      <c r="I224" s="556">
        <f t="shared" si="20"/>
        <v>0</v>
      </c>
      <c r="J224" s="556">
        <f t="shared" si="19"/>
        <v>0</v>
      </c>
      <c r="K224" s="557"/>
      <c r="L224" s="11"/>
    </row>
    <row r="225" spans="1:33" s="558" customFormat="1" x14ac:dyDescent="0.25">
      <c r="A225" s="245" t="s">
        <v>943</v>
      </c>
      <c r="B225" s="334"/>
      <c r="C225" s="335" t="s">
        <v>716</v>
      </c>
      <c r="D225" s="336" t="s">
        <v>0</v>
      </c>
      <c r="E225" s="405">
        <f>E228+E253+E276+E292</f>
        <v>591</v>
      </c>
      <c r="F225" s="526"/>
      <c r="G225" s="520">
        <v>0</v>
      </c>
      <c r="H225" s="556">
        <f>F225*E225</f>
        <v>0</v>
      </c>
      <c r="I225" s="556">
        <f t="shared" si="20"/>
        <v>0</v>
      </c>
      <c r="J225" s="556">
        <f t="shared" si="19"/>
        <v>0</v>
      </c>
      <c r="K225" s="557"/>
      <c r="L225" s="11"/>
    </row>
    <row r="226" spans="1:33" s="558" customFormat="1" ht="15" collapsed="1" x14ac:dyDescent="0.25">
      <c r="A226" s="245" t="s">
        <v>944</v>
      </c>
      <c r="B226" s="527"/>
      <c r="C226" s="335" t="s">
        <v>414</v>
      </c>
      <c r="D226" s="336" t="s">
        <v>0</v>
      </c>
      <c r="E226" s="405">
        <f>E250+E273+E289+E307</f>
        <v>4996</v>
      </c>
      <c r="F226" s="559"/>
      <c r="G226" s="520">
        <v>0</v>
      </c>
      <c r="H226" s="556">
        <f>F226*E226</f>
        <v>0</v>
      </c>
      <c r="I226" s="556">
        <f t="shared" si="20"/>
        <v>0</v>
      </c>
      <c r="J226" s="556">
        <f t="shared" si="19"/>
        <v>0</v>
      </c>
      <c r="K226" s="557"/>
      <c r="L226" s="11"/>
    </row>
    <row r="227" spans="1:33" s="63" customFormat="1" hidden="1" outlineLevel="1" x14ac:dyDescent="0.25">
      <c r="A227" s="245" t="s">
        <v>945</v>
      </c>
      <c r="B227" s="403" t="s">
        <v>711</v>
      </c>
      <c r="C227" s="393" t="s">
        <v>376</v>
      </c>
      <c r="D227" s="393"/>
      <c r="E227" s="393"/>
      <c r="F227" s="460"/>
      <c r="G227" s="508"/>
      <c r="H227" s="460"/>
      <c r="I227" s="460">
        <f t="shared" si="20"/>
        <v>0</v>
      </c>
      <c r="J227" s="460">
        <f t="shared" si="19"/>
        <v>0</v>
      </c>
      <c r="K227" s="300"/>
      <c r="L227" s="65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</row>
    <row r="228" spans="1:33" s="338" customFormat="1" hidden="1" outlineLevel="1" x14ac:dyDescent="0.25">
      <c r="A228" s="245" t="s">
        <v>946</v>
      </c>
      <c r="B228" s="413"/>
      <c r="C228" s="529" t="s">
        <v>670</v>
      </c>
      <c r="D228" s="342" t="s">
        <v>0</v>
      </c>
      <c r="E228" s="306">
        <f>E229</f>
        <v>175</v>
      </c>
      <c r="F228" s="488"/>
      <c r="G228" s="491">
        <v>5600</v>
      </c>
      <c r="H228" s="464">
        <f t="shared" ref="H228:H251" si="21">F228*E228</f>
        <v>0</v>
      </c>
      <c r="I228" s="464">
        <f t="shared" si="20"/>
        <v>980000</v>
      </c>
      <c r="J228" s="464">
        <f t="shared" si="19"/>
        <v>980000</v>
      </c>
      <c r="K228" s="349"/>
      <c r="L228" s="337"/>
    </row>
    <row r="229" spans="1:33" s="180" customFormat="1" ht="15" hidden="1" outlineLevel="2" x14ac:dyDescent="0.25">
      <c r="A229" s="245" t="s">
        <v>947</v>
      </c>
      <c r="B229" s="175"/>
      <c r="C229" s="191" t="s">
        <v>662</v>
      </c>
      <c r="D229" s="185" t="s">
        <v>0</v>
      </c>
      <c r="E229" s="181">
        <v>175</v>
      </c>
      <c r="F229" s="530">
        <v>5535</v>
      </c>
      <c r="G229" s="491">
        <v>0</v>
      </c>
      <c r="H229" s="464">
        <f t="shared" si="21"/>
        <v>968625</v>
      </c>
      <c r="I229" s="464">
        <v>0</v>
      </c>
      <c r="J229" s="464">
        <f t="shared" si="19"/>
        <v>968625</v>
      </c>
      <c r="K229" s="297"/>
      <c r="L229" s="179"/>
    </row>
    <row r="230" spans="1:33" s="180" customFormat="1" hidden="1" outlineLevel="1" x14ac:dyDescent="0.25">
      <c r="A230" s="245" t="s">
        <v>948</v>
      </c>
      <c r="B230" s="413"/>
      <c r="C230" s="529" t="s">
        <v>383</v>
      </c>
      <c r="D230" s="342" t="s">
        <v>0</v>
      </c>
      <c r="E230" s="306">
        <f>E231</f>
        <v>85</v>
      </c>
      <c r="F230" s="461"/>
      <c r="G230" s="491">
        <v>5600</v>
      </c>
      <c r="H230" s="464">
        <f t="shared" si="21"/>
        <v>0</v>
      </c>
      <c r="I230" s="464">
        <f>G230*E230</f>
        <v>476000</v>
      </c>
      <c r="J230" s="464">
        <f t="shared" si="19"/>
        <v>476000</v>
      </c>
      <c r="K230" s="297"/>
      <c r="L230" s="179"/>
    </row>
    <row r="231" spans="1:33" s="180" customFormat="1" hidden="1" outlineLevel="2" x14ac:dyDescent="0.25">
      <c r="A231" s="245" t="s">
        <v>949</v>
      </c>
      <c r="B231" s="175"/>
      <c r="C231" s="250" t="s">
        <v>293</v>
      </c>
      <c r="D231" s="185" t="s">
        <v>0</v>
      </c>
      <c r="E231" s="181">
        <v>85</v>
      </c>
      <c r="F231" s="484">
        <v>6870</v>
      </c>
      <c r="G231" s="491">
        <v>0</v>
      </c>
      <c r="H231" s="464">
        <f t="shared" si="21"/>
        <v>583950</v>
      </c>
      <c r="I231" s="464">
        <f>G231*E231</f>
        <v>0</v>
      </c>
      <c r="J231" s="464">
        <f t="shared" si="19"/>
        <v>583950</v>
      </c>
      <c r="K231" s="297"/>
      <c r="L231" s="179"/>
    </row>
    <row r="232" spans="1:33" s="180" customFormat="1" ht="25.5" hidden="1" outlineLevel="1" x14ac:dyDescent="0.25">
      <c r="A232" s="245" t="s">
        <v>950</v>
      </c>
      <c r="B232" s="413"/>
      <c r="C232" s="529" t="s">
        <v>387</v>
      </c>
      <c r="D232" s="185" t="s">
        <v>390</v>
      </c>
      <c r="E232" s="306">
        <v>205</v>
      </c>
      <c r="F232" s="464"/>
      <c r="G232" s="491">
        <v>1725</v>
      </c>
      <c r="H232" s="464">
        <f t="shared" si="21"/>
        <v>0</v>
      </c>
      <c r="I232" s="464">
        <f>G232*E232</f>
        <v>353625</v>
      </c>
      <c r="J232" s="464">
        <f t="shared" si="19"/>
        <v>353625</v>
      </c>
      <c r="K232" s="297"/>
      <c r="L232" s="179"/>
    </row>
    <row r="233" spans="1:33" s="180" customFormat="1" hidden="1" outlineLevel="2" x14ac:dyDescent="0.25">
      <c r="A233" s="245" t="s">
        <v>951</v>
      </c>
      <c r="B233" s="175"/>
      <c r="C233" s="191" t="s">
        <v>389</v>
      </c>
      <c r="D233" s="185" t="s">
        <v>390</v>
      </c>
      <c r="E233" s="181">
        <v>205</v>
      </c>
      <c r="F233" s="464">
        <v>1390</v>
      </c>
      <c r="G233" s="491">
        <v>0</v>
      </c>
      <c r="H233" s="464">
        <f t="shared" si="21"/>
        <v>284950</v>
      </c>
      <c r="I233" s="464">
        <v>0</v>
      </c>
      <c r="J233" s="464">
        <f>H233+I233</f>
        <v>284950</v>
      </c>
      <c r="K233" s="297"/>
      <c r="L233" s="179"/>
    </row>
    <row r="234" spans="1:33" s="180" customFormat="1" hidden="1" outlineLevel="2" x14ac:dyDescent="0.25">
      <c r="A234" s="245" t="s">
        <v>952</v>
      </c>
      <c r="B234" s="175"/>
      <c r="C234" s="191" t="s">
        <v>391</v>
      </c>
      <c r="D234" s="185" t="s">
        <v>390</v>
      </c>
      <c r="E234" s="181">
        <v>50</v>
      </c>
      <c r="F234" s="464">
        <v>633</v>
      </c>
      <c r="G234" s="521">
        <v>0</v>
      </c>
      <c r="H234" s="464">
        <f t="shared" si="21"/>
        <v>31650</v>
      </c>
      <c r="I234" s="464">
        <v>0</v>
      </c>
      <c r="J234" s="464">
        <f>H234+I234</f>
        <v>31650</v>
      </c>
      <c r="K234" s="297"/>
      <c r="L234" s="179"/>
    </row>
    <row r="235" spans="1:33" s="180" customFormat="1" hidden="1" outlineLevel="2" x14ac:dyDescent="0.25">
      <c r="A235" s="245" t="s">
        <v>953</v>
      </c>
      <c r="B235" s="175"/>
      <c r="C235" s="191" t="s">
        <v>392</v>
      </c>
      <c r="D235" s="469" t="s">
        <v>92</v>
      </c>
      <c r="E235" s="181">
        <v>0.2</v>
      </c>
      <c r="F235" s="464">
        <v>445</v>
      </c>
      <c r="G235" s="491">
        <v>0</v>
      </c>
      <c r="H235" s="464">
        <f t="shared" si="21"/>
        <v>89</v>
      </c>
      <c r="I235" s="464">
        <v>0</v>
      </c>
      <c r="J235" s="464">
        <f t="shared" ref="J235:J280" si="22">H235+I235</f>
        <v>89</v>
      </c>
      <c r="K235" s="297"/>
      <c r="L235" s="179"/>
    </row>
    <row r="236" spans="1:33" s="180" customFormat="1" hidden="1" outlineLevel="2" x14ac:dyDescent="0.25">
      <c r="A236" s="245" t="s">
        <v>954</v>
      </c>
      <c r="B236" s="175"/>
      <c r="C236" s="191" t="s">
        <v>393</v>
      </c>
      <c r="D236" s="185" t="s">
        <v>390</v>
      </c>
      <c r="E236" s="181">
        <v>205</v>
      </c>
      <c r="F236" s="464">
        <v>23</v>
      </c>
      <c r="G236" s="491">
        <v>0</v>
      </c>
      <c r="H236" s="464">
        <f t="shared" si="21"/>
        <v>4715</v>
      </c>
      <c r="I236" s="464">
        <v>0</v>
      </c>
      <c r="J236" s="464">
        <f t="shared" si="22"/>
        <v>4715</v>
      </c>
      <c r="K236" s="299" t="s">
        <v>394</v>
      </c>
      <c r="L236" s="179"/>
    </row>
    <row r="237" spans="1:33" s="180" customFormat="1" hidden="1" outlineLevel="2" x14ac:dyDescent="0.25">
      <c r="A237" s="245" t="s">
        <v>955</v>
      </c>
      <c r="B237" s="175"/>
      <c r="C237" s="191" t="s">
        <v>395</v>
      </c>
      <c r="D237" s="185" t="s">
        <v>0</v>
      </c>
      <c r="E237" s="181">
        <v>7.12</v>
      </c>
      <c r="F237" s="464">
        <v>15099</v>
      </c>
      <c r="G237" s="491">
        <v>0</v>
      </c>
      <c r="H237" s="464">
        <f t="shared" si="21"/>
        <v>107504.88</v>
      </c>
      <c r="I237" s="464">
        <v>0</v>
      </c>
      <c r="J237" s="464">
        <f t="shared" si="22"/>
        <v>107504.88</v>
      </c>
      <c r="K237" s="299" t="s">
        <v>396</v>
      </c>
      <c r="L237" s="179"/>
    </row>
    <row r="238" spans="1:33" s="180" customFormat="1" hidden="1" outlineLevel="1" x14ac:dyDescent="0.25">
      <c r="A238" s="245" t="s">
        <v>956</v>
      </c>
      <c r="B238" s="413"/>
      <c r="C238" s="529" t="s">
        <v>660</v>
      </c>
      <c r="D238" s="342" t="s">
        <v>33</v>
      </c>
      <c r="E238" s="306">
        <f>SUM(E239:E248)</f>
        <v>286.79000000000002</v>
      </c>
      <c r="F238" s="461"/>
      <c r="G238" s="491">
        <v>26900</v>
      </c>
      <c r="H238" s="464">
        <f t="shared" si="21"/>
        <v>0</v>
      </c>
      <c r="I238" s="464">
        <f>G238*E238</f>
        <v>7714651</v>
      </c>
      <c r="J238" s="464">
        <f t="shared" si="22"/>
        <v>7714651</v>
      </c>
      <c r="K238" s="531"/>
      <c r="L238" s="753" t="s">
        <v>628</v>
      </c>
    </row>
    <row r="239" spans="1:33" s="180" customFormat="1" hidden="1" outlineLevel="2" x14ac:dyDescent="0.25">
      <c r="A239" s="245" t="s">
        <v>957</v>
      </c>
      <c r="B239" s="175"/>
      <c r="C239" s="191" t="s">
        <v>399</v>
      </c>
      <c r="D239" s="185" t="s">
        <v>33</v>
      </c>
      <c r="E239" s="532">
        <f>5.95/1000</f>
        <v>6.0000000000000001E-3</v>
      </c>
      <c r="F239" s="464">
        <v>58490</v>
      </c>
      <c r="G239" s="491">
        <v>0</v>
      </c>
      <c r="H239" s="464">
        <f t="shared" si="21"/>
        <v>350.94</v>
      </c>
      <c r="I239" s="464">
        <v>0</v>
      </c>
      <c r="J239" s="464">
        <f t="shared" si="22"/>
        <v>350.94</v>
      </c>
      <c r="K239" s="299"/>
      <c r="L239" s="754"/>
    </row>
    <row r="240" spans="1:33" s="180" customFormat="1" hidden="1" outlineLevel="2" x14ac:dyDescent="0.25">
      <c r="A240" s="245" t="s">
        <v>958</v>
      </c>
      <c r="B240" s="175"/>
      <c r="C240" s="191" t="s">
        <v>401</v>
      </c>
      <c r="D240" s="185" t="s">
        <v>33</v>
      </c>
      <c r="E240" s="532">
        <f>29728.5/1000</f>
        <v>29.728999999999999</v>
      </c>
      <c r="F240" s="464">
        <v>58150</v>
      </c>
      <c r="G240" s="491">
        <v>0</v>
      </c>
      <c r="H240" s="464">
        <f t="shared" si="21"/>
        <v>1728741.35</v>
      </c>
      <c r="I240" s="464">
        <v>0</v>
      </c>
      <c r="J240" s="464">
        <f t="shared" si="22"/>
        <v>1728741.35</v>
      </c>
      <c r="K240" s="299"/>
      <c r="L240" s="754"/>
    </row>
    <row r="241" spans="1:33" s="180" customFormat="1" hidden="1" outlineLevel="2" x14ac:dyDescent="0.25">
      <c r="A241" s="245" t="s">
        <v>959</v>
      </c>
      <c r="B241" s="175"/>
      <c r="C241" s="533" t="s">
        <v>426</v>
      </c>
      <c r="D241" s="185" t="s">
        <v>33</v>
      </c>
      <c r="E241" s="532">
        <f>14838.48/1000</f>
        <v>14.837999999999999</v>
      </c>
      <c r="F241" s="461">
        <v>58900</v>
      </c>
      <c r="G241" s="491">
        <v>0</v>
      </c>
      <c r="H241" s="464">
        <f t="shared" si="21"/>
        <v>873958.2</v>
      </c>
      <c r="I241" s="464">
        <v>0</v>
      </c>
      <c r="J241" s="464">
        <f t="shared" si="22"/>
        <v>873958.2</v>
      </c>
      <c r="K241" s="299"/>
      <c r="L241" s="754"/>
    </row>
    <row r="242" spans="1:33" s="180" customFormat="1" hidden="1" outlineLevel="2" x14ac:dyDescent="0.25">
      <c r="A242" s="245" t="s">
        <v>960</v>
      </c>
      <c r="B242" s="175"/>
      <c r="C242" s="176" t="s">
        <v>427</v>
      </c>
      <c r="D242" s="185" t="s">
        <v>33</v>
      </c>
      <c r="E242" s="532">
        <f>6934.41/1000</f>
        <v>6.9340000000000002</v>
      </c>
      <c r="F242" s="461">
        <v>55350</v>
      </c>
      <c r="G242" s="491">
        <v>0</v>
      </c>
      <c r="H242" s="464">
        <f t="shared" si="21"/>
        <v>383796.9</v>
      </c>
      <c r="I242" s="464">
        <v>0</v>
      </c>
      <c r="J242" s="464">
        <f t="shared" si="22"/>
        <v>383796.9</v>
      </c>
      <c r="K242" s="299"/>
      <c r="L242" s="754"/>
    </row>
    <row r="243" spans="1:33" s="180" customFormat="1" hidden="1" outlineLevel="2" x14ac:dyDescent="0.25">
      <c r="A243" s="245" t="s">
        <v>961</v>
      </c>
      <c r="B243" s="175"/>
      <c r="C243" s="533" t="s">
        <v>440</v>
      </c>
      <c r="D243" s="185" t="s">
        <v>33</v>
      </c>
      <c r="E243" s="532">
        <f>4257.4/1000</f>
        <v>4.2569999999999997</v>
      </c>
      <c r="F243" s="464">
        <v>55350</v>
      </c>
      <c r="G243" s="491">
        <v>0</v>
      </c>
      <c r="H243" s="464">
        <f t="shared" si="21"/>
        <v>235624.95</v>
      </c>
      <c r="I243" s="464">
        <v>0</v>
      </c>
      <c r="J243" s="464">
        <f t="shared" si="22"/>
        <v>235624.95</v>
      </c>
      <c r="K243" s="299"/>
      <c r="L243" s="754"/>
    </row>
    <row r="244" spans="1:33" s="180" customFormat="1" hidden="1" outlineLevel="2" x14ac:dyDescent="0.25">
      <c r="A244" s="245" t="s">
        <v>962</v>
      </c>
      <c r="B244" s="175"/>
      <c r="C244" s="191" t="s">
        <v>405</v>
      </c>
      <c r="D244" s="185" t="s">
        <v>33</v>
      </c>
      <c r="E244" s="532">
        <f>90.1/1000</f>
        <v>0.09</v>
      </c>
      <c r="F244" s="461">
        <v>55350</v>
      </c>
      <c r="G244" s="491">
        <v>0</v>
      </c>
      <c r="H244" s="464">
        <f t="shared" si="21"/>
        <v>4981.5</v>
      </c>
      <c r="I244" s="464">
        <v>0</v>
      </c>
      <c r="J244" s="464">
        <f t="shared" si="22"/>
        <v>4981.5</v>
      </c>
      <c r="K244" s="299"/>
      <c r="L244" s="754"/>
    </row>
    <row r="245" spans="1:33" s="180" customFormat="1" hidden="1" outlineLevel="2" x14ac:dyDescent="0.25">
      <c r="A245" s="245" t="s">
        <v>963</v>
      </c>
      <c r="B245" s="175"/>
      <c r="C245" s="176" t="s">
        <v>428</v>
      </c>
      <c r="D245" s="185" t="s">
        <v>33</v>
      </c>
      <c r="E245" s="532">
        <f>10044.37/1000</f>
        <v>10.044</v>
      </c>
      <c r="F245" s="461">
        <v>55350</v>
      </c>
      <c r="G245" s="491">
        <v>0</v>
      </c>
      <c r="H245" s="464">
        <f t="shared" si="21"/>
        <v>555935.4</v>
      </c>
      <c r="I245" s="464">
        <v>0</v>
      </c>
      <c r="J245" s="464">
        <f t="shared" si="22"/>
        <v>555935.4</v>
      </c>
      <c r="K245" s="299"/>
      <c r="L245" s="754"/>
    </row>
    <row r="246" spans="1:33" s="180" customFormat="1" hidden="1" outlineLevel="2" x14ac:dyDescent="0.25">
      <c r="A246" s="245" t="s">
        <v>964</v>
      </c>
      <c r="B246" s="175"/>
      <c r="C246" s="176" t="s">
        <v>429</v>
      </c>
      <c r="D246" s="185" t="s">
        <v>33</v>
      </c>
      <c r="E246" s="532">
        <f>189654.52/1000</f>
        <v>189.655</v>
      </c>
      <c r="F246" s="461">
        <v>55350</v>
      </c>
      <c r="G246" s="491">
        <v>0</v>
      </c>
      <c r="H246" s="464">
        <f t="shared" si="21"/>
        <v>10497404.25</v>
      </c>
      <c r="I246" s="464">
        <v>0</v>
      </c>
      <c r="J246" s="464">
        <f t="shared" si="22"/>
        <v>10497404.25</v>
      </c>
      <c r="K246" s="299"/>
      <c r="L246" s="754"/>
    </row>
    <row r="247" spans="1:33" s="180" customFormat="1" ht="15" hidden="1" outlineLevel="2" x14ac:dyDescent="0.25">
      <c r="A247" s="245" t="s">
        <v>965</v>
      </c>
      <c r="B247" s="175"/>
      <c r="C247" s="534" t="s">
        <v>430</v>
      </c>
      <c r="D247" s="185" t="s">
        <v>33</v>
      </c>
      <c r="E247" s="532">
        <f>4017/1000</f>
        <v>4.0170000000000003</v>
      </c>
      <c r="F247" s="530">
        <v>55350</v>
      </c>
      <c r="G247" s="491">
        <v>0</v>
      </c>
      <c r="H247" s="464">
        <f t="shared" si="21"/>
        <v>222340.95</v>
      </c>
      <c r="I247" s="464">
        <v>0</v>
      </c>
      <c r="J247" s="464">
        <f t="shared" si="22"/>
        <v>222340.95</v>
      </c>
      <c r="K247" s="299"/>
      <c r="L247" s="754"/>
    </row>
    <row r="248" spans="1:33" s="180" customFormat="1" hidden="1" outlineLevel="2" x14ac:dyDescent="0.25">
      <c r="A248" s="245" t="s">
        <v>532</v>
      </c>
      <c r="B248" s="175"/>
      <c r="C248" s="184" t="s">
        <v>409</v>
      </c>
      <c r="D248" s="185" t="s">
        <v>33</v>
      </c>
      <c r="E248" s="532">
        <f>27217.83/1000</f>
        <v>27.218</v>
      </c>
      <c r="F248" s="461">
        <v>55900</v>
      </c>
      <c r="G248" s="491">
        <v>0</v>
      </c>
      <c r="H248" s="464">
        <f t="shared" si="21"/>
        <v>1521486.2</v>
      </c>
      <c r="I248" s="464">
        <v>0</v>
      </c>
      <c r="J248" s="464">
        <f t="shared" si="22"/>
        <v>1521486.2</v>
      </c>
      <c r="K248" s="299"/>
      <c r="L248" s="754"/>
    </row>
    <row r="249" spans="1:33" s="180" customFormat="1" hidden="1" outlineLevel="2" x14ac:dyDescent="0.25">
      <c r="A249" s="245" t="s">
        <v>966</v>
      </c>
      <c r="B249" s="175"/>
      <c r="C249" s="191" t="s">
        <v>410</v>
      </c>
      <c r="D249" s="185" t="s">
        <v>92</v>
      </c>
      <c r="E249" s="532">
        <v>4.9800000000000004</v>
      </c>
      <c r="F249" s="464">
        <v>80.3</v>
      </c>
      <c r="G249" s="491">
        <v>0</v>
      </c>
      <c r="H249" s="464">
        <f t="shared" si="21"/>
        <v>399.89</v>
      </c>
      <c r="I249" s="464">
        <v>0</v>
      </c>
      <c r="J249" s="464">
        <f t="shared" si="22"/>
        <v>399.89</v>
      </c>
      <c r="K249" s="299"/>
      <c r="L249" s="754"/>
    </row>
    <row r="250" spans="1:33" s="180" customFormat="1" hidden="1" outlineLevel="1" x14ac:dyDescent="0.25">
      <c r="A250" s="245" t="s">
        <v>967</v>
      </c>
      <c r="B250" s="413"/>
      <c r="C250" s="529" t="s">
        <v>760</v>
      </c>
      <c r="D250" s="342" t="s">
        <v>0</v>
      </c>
      <c r="E250" s="306">
        <f>E251</f>
        <v>2017</v>
      </c>
      <c r="F250" s="464"/>
      <c r="G250" s="491">
        <v>5600</v>
      </c>
      <c r="H250" s="464">
        <f t="shared" si="21"/>
        <v>0</v>
      </c>
      <c r="I250" s="464">
        <f>G250*E250</f>
        <v>11295200</v>
      </c>
      <c r="J250" s="464">
        <f t="shared" si="22"/>
        <v>11295200</v>
      </c>
      <c r="K250" s="299"/>
      <c r="L250" s="755"/>
    </row>
    <row r="251" spans="1:33" s="180" customFormat="1" hidden="1" outlineLevel="2" x14ac:dyDescent="0.25">
      <c r="A251" s="245" t="s">
        <v>968</v>
      </c>
      <c r="B251" s="535"/>
      <c r="C251" s="536" t="s">
        <v>414</v>
      </c>
      <c r="D251" s="175" t="s">
        <v>0</v>
      </c>
      <c r="E251" s="537">
        <v>2017</v>
      </c>
      <c r="F251" s="464">
        <v>7475</v>
      </c>
      <c r="G251" s="491">
        <v>0</v>
      </c>
      <c r="H251" s="464">
        <f t="shared" si="21"/>
        <v>15077075</v>
      </c>
      <c r="I251" s="464">
        <v>0</v>
      </c>
      <c r="J251" s="464">
        <f t="shared" si="22"/>
        <v>15077075</v>
      </c>
      <c r="K251" s="299"/>
      <c r="L251" s="179"/>
    </row>
    <row r="252" spans="1:33" s="63" customFormat="1" hidden="1" outlineLevel="1" x14ac:dyDescent="0.25">
      <c r="A252" s="245" t="s">
        <v>969</v>
      </c>
      <c r="B252" s="403" t="s">
        <v>712</v>
      </c>
      <c r="C252" s="393" t="s">
        <v>416</v>
      </c>
      <c r="D252" s="393"/>
      <c r="E252" s="393"/>
      <c r="F252" s="460"/>
      <c r="G252" s="508"/>
      <c r="H252" s="460"/>
      <c r="I252" s="460">
        <f>G252*E252</f>
        <v>0</v>
      </c>
      <c r="J252" s="460">
        <f t="shared" si="22"/>
        <v>0</v>
      </c>
      <c r="K252" s="300"/>
      <c r="L252" s="65"/>
      <c r="M252" s="338"/>
      <c r="N252" s="338"/>
      <c r="O252" s="338"/>
      <c r="P252" s="338"/>
      <c r="Q252" s="338"/>
      <c r="R252" s="338"/>
      <c r="S252" s="338"/>
      <c r="T252" s="338"/>
      <c r="U252" s="338"/>
      <c r="V252" s="338"/>
      <c r="W252" s="338"/>
      <c r="X252" s="338"/>
      <c r="Y252" s="338"/>
      <c r="Z252" s="338"/>
      <c r="AA252" s="338"/>
      <c r="AB252" s="338"/>
      <c r="AC252" s="338"/>
      <c r="AD252" s="338"/>
      <c r="AE252" s="338"/>
      <c r="AF252" s="338"/>
      <c r="AG252" s="338"/>
    </row>
    <row r="253" spans="1:33" s="180" customFormat="1" hidden="1" outlineLevel="1" x14ac:dyDescent="0.25">
      <c r="A253" s="245" t="s">
        <v>970</v>
      </c>
      <c r="B253" s="413"/>
      <c r="C253" s="529" t="s">
        <v>669</v>
      </c>
      <c r="D253" s="342" t="s">
        <v>0</v>
      </c>
      <c r="E253" s="306">
        <f>E254</f>
        <v>90</v>
      </c>
      <c r="F253" s="464"/>
      <c r="G253" s="491">
        <v>5600</v>
      </c>
      <c r="H253" s="464">
        <f t="shared" ref="H253:H274" si="23">F253*E253</f>
        <v>0</v>
      </c>
      <c r="I253" s="464">
        <f>G253*E253</f>
        <v>504000</v>
      </c>
      <c r="J253" s="464">
        <f t="shared" si="22"/>
        <v>504000</v>
      </c>
      <c r="K253" s="299"/>
      <c r="L253" s="179"/>
    </row>
    <row r="254" spans="1:33" s="180" customFormat="1" hidden="1" outlineLevel="2" x14ac:dyDescent="0.25">
      <c r="A254" s="245" t="s">
        <v>971</v>
      </c>
      <c r="B254" s="175"/>
      <c r="C254" s="191" t="s">
        <v>662</v>
      </c>
      <c r="D254" s="185" t="s">
        <v>0</v>
      </c>
      <c r="E254" s="539">
        <v>90</v>
      </c>
      <c r="F254" s="464">
        <v>5535</v>
      </c>
      <c r="G254" s="491">
        <v>0</v>
      </c>
      <c r="H254" s="464">
        <f t="shared" si="23"/>
        <v>498150</v>
      </c>
      <c r="I254" s="464">
        <v>0</v>
      </c>
      <c r="J254" s="464">
        <f t="shared" si="22"/>
        <v>498150</v>
      </c>
      <c r="K254" s="540"/>
      <c r="L254" s="540"/>
    </row>
    <row r="255" spans="1:33" s="338" customFormat="1" hidden="1" outlineLevel="1" x14ac:dyDescent="0.25">
      <c r="A255" s="245" t="s">
        <v>972</v>
      </c>
      <c r="B255" s="413"/>
      <c r="C255" s="529" t="s">
        <v>383</v>
      </c>
      <c r="D255" s="342" t="s">
        <v>0</v>
      </c>
      <c r="E255" s="306">
        <f>E256</f>
        <v>48</v>
      </c>
      <c r="F255" s="464"/>
      <c r="G255" s="491">
        <v>5600</v>
      </c>
      <c r="H255" s="464">
        <f t="shared" si="23"/>
        <v>0</v>
      </c>
      <c r="I255" s="464">
        <f>G255*E255</f>
        <v>268800</v>
      </c>
      <c r="J255" s="464">
        <f t="shared" si="22"/>
        <v>268800</v>
      </c>
      <c r="K255" s="337"/>
      <c r="L255" s="337"/>
    </row>
    <row r="256" spans="1:33" s="180" customFormat="1" hidden="1" outlineLevel="2" x14ac:dyDescent="0.25">
      <c r="A256" s="245" t="s">
        <v>973</v>
      </c>
      <c r="B256" s="175"/>
      <c r="C256" s="250" t="s">
        <v>293</v>
      </c>
      <c r="D256" s="175" t="s">
        <v>0</v>
      </c>
      <c r="E256" s="537">
        <v>48</v>
      </c>
      <c r="F256" s="464">
        <v>6870</v>
      </c>
      <c r="G256" s="491">
        <v>0</v>
      </c>
      <c r="H256" s="464">
        <f t="shared" si="23"/>
        <v>329760</v>
      </c>
      <c r="I256" s="464">
        <v>0</v>
      </c>
      <c r="J256" s="464">
        <f t="shared" si="22"/>
        <v>329760</v>
      </c>
      <c r="K256" s="179"/>
      <c r="L256" s="179"/>
    </row>
    <row r="257" spans="1:12" s="180" customFormat="1" hidden="1" outlineLevel="1" x14ac:dyDescent="0.25">
      <c r="A257" s="245" t="s">
        <v>974</v>
      </c>
      <c r="B257" s="413"/>
      <c r="C257" s="337" t="s">
        <v>423</v>
      </c>
      <c r="D257" s="185" t="s">
        <v>390</v>
      </c>
      <c r="E257" s="248">
        <v>104</v>
      </c>
      <c r="F257" s="464"/>
      <c r="G257" s="491">
        <v>1725</v>
      </c>
      <c r="H257" s="464">
        <f t="shared" si="23"/>
        <v>0</v>
      </c>
      <c r="I257" s="464">
        <f>G257*E257</f>
        <v>179400</v>
      </c>
      <c r="J257" s="464">
        <f t="shared" si="22"/>
        <v>179400</v>
      </c>
      <c r="K257" s="541">
        <f>SUM(I258:I262)</f>
        <v>0</v>
      </c>
      <c r="L257" s="179"/>
    </row>
    <row r="258" spans="1:12" s="180" customFormat="1" hidden="1" outlineLevel="2" x14ac:dyDescent="0.25">
      <c r="A258" s="245" t="s">
        <v>975</v>
      </c>
      <c r="B258" s="175"/>
      <c r="C258" s="193" t="s">
        <v>395</v>
      </c>
      <c r="D258" s="185" t="s">
        <v>0</v>
      </c>
      <c r="E258" s="181">
        <v>3.6</v>
      </c>
      <c r="F258" s="464">
        <v>15099</v>
      </c>
      <c r="G258" s="491">
        <v>0</v>
      </c>
      <c r="H258" s="464">
        <f t="shared" si="23"/>
        <v>54356.4</v>
      </c>
      <c r="I258" s="464">
        <v>0</v>
      </c>
      <c r="J258" s="464">
        <f t="shared" si="22"/>
        <v>54356.4</v>
      </c>
      <c r="K258" s="299" t="s">
        <v>396</v>
      </c>
      <c r="L258" s="179"/>
    </row>
    <row r="259" spans="1:12" s="180" customFormat="1" hidden="1" outlineLevel="2" x14ac:dyDescent="0.25">
      <c r="A259" s="245" t="s">
        <v>976</v>
      </c>
      <c r="B259" s="175"/>
      <c r="C259" s="191" t="s">
        <v>389</v>
      </c>
      <c r="D259" s="185" t="s">
        <v>390</v>
      </c>
      <c r="E259" s="181">
        <v>104</v>
      </c>
      <c r="F259" s="464">
        <v>1390</v>
      </c>
      <c r="G259" s="491">
        <v>0</v>
      </c>
      <c r="H259" s="464">
        <f t="shared" si="23"/>
        <v>144560</v>
      </c>
      <c r="I259" s="464">
        <v>0</v>
      </c>
      <c r="J259" s="464">
        <f t="shared" si="22"/>
        <v>144560</v>
      </c>
      <c r="K259" s="297"/>
      <c r="L259" s="179"/>
    </row>
    <row r="260" spans="1:12" s="180" customFormat="1" hidden="1" outlineLevel="2" x14ac:dyDescent="0.25">
      <c r="A260" s="245" t="s">
        <v>977</v>
      </c>
      <c r="B260" s="175"/>
      <c r="C260" s="191" t="s">
        <v>391</v>
      </c>
      <c r="D260" s="185" t="s">
        <v>390</v>
      </c>
      <c r="E260" s="181">
        <v>29</v>
      </c>
      <c r="F260" s="464">
        <v>633</v>
      </c>
      <c r="G260" s="491">
        <v>0</v>
      </c>
      <c r="H260" s="464">
        <f t="shared" si="23"/>
        <v>18357</v>
      </c>
      <c r="I260" s="464">
        <v>0</v>
      </c>
      <c r="J260" s="464">
        <f t="shared" si="22"/>
        <v>18357</v>
      </c>
      <c r="K260" s="297"/>
      <c r="L260" s="179"/>
    </row>
    <row r="261" spans="1:12" s="180" customFormat="1" hidden="1" outlineLevel="2" x14ac:dyDescent="0.25">
      <c r="A261" s="245" t="s">
        <v>978</v>
      </c>
      <c r="B261" s="175"/>
      <c r="C261" s="191" t="s">
        <v>392</v>
      </c>
      <c r="D261" s="469" t="s">
        <v>92</v>
      </c>
      <c r="E261" s="181">
        <v>0.1</v>
      </c>
      <c r="F261" s="464">
        <v>445</v>
      </c>
      <c r="G261" s="491">
        <v>0</v>
      </c>
      <c r="H261" s="464">
        <f t="shared" si="23"/>
        <v>44.5</v>
      </c>
      <c r="I261" s="464">
        <v>0</v>
      </c>
      <c r="J261" s="464">
        <f t="shared" si="22"/>
        <v>44.5</v>
      </c>
      <c r="K261" s="297"/>
      <c r="L261" s="179"/>
    </row>
    <row r="262" spans="1:12" s="180" customFormat="1" hidden="1" outlineLevel="2" x14ac:dyDescent="0.25">
      <c r="A262" s="245" t="s">
        <v>979</v>
      </c>
      <c r="B262" s="175"/>
      <c r="C262" s="191" t="s">
        <v>393</v>
      </c>
      <c r="D262" s="185" t="s">
        <v>390</v>
      </c>
      <c r="E262" s="181">
        <v>101</v>
      </c>
      <c r="F262" s="464">
        <v>23</v>
      </c>
      <c r="G262" s="491">
        <v>0</v>
      </c>
      <c r="H262" s="464">
        <f t="shared" si="23"/>
        <v>2323</v>
      </c>
      <c r="I262" s="464">
        <v>0</v>
      </c>
      <c r="J262" s="464">
        <f t="shared" si="22"/>
        <v>2323</v>
      </c>
      <c r="K262" s="299" t="s">
        <v>394</v>
      </c>
      <c r="L262" s="179"/>
    </row>
    <row r="263" spans="1:12" s="180" customFormat="1" ht="13.5" hidden="1" outlineLevel="1" x14ac:dyDescent="0.25">
      <c r="A263" s="245" t="s">
        <v>980</v>
      </c>
      <c r="B263" s="413"/>
      <c r="C263" s="529" t="s">
        <v>425</v>
      </c>
      <c r="D263" s="342" t="s">
        <v>33</v>
      </c>
      <c r="E263" s="306">
        <f>SUM(E264:E272)</f>
        <v>149.34</v>
      </c>
      <c r="F263" s="464"/>
      <c r="G263" s="491">
        <v>26900</v>
      </c>
      <c r="H263" s="464">
        <f t="shared" si="23"/>
        <v>0</v>
      </c>
      <c r="I263" s="464">
        <f>G263*E263</f>
        <v>4017246</v>
      </c>
      <c r="J263" s="464">
        <f t="shared" si="22"/>
        <v>4017246</v>
      </c>
      <c r="K263" s="542"/>
      <c r="L263" s="747" t="s">
        <v>629</v>
      </c>
    </row>
    <row r="264" spans="1:12" s="180" customFormat="1" hidden="1" outlineLevel="2" x14ac:dyDescent="0.25">
      <c r="A264" s="245" t="s">
        <v>981</v>
      </c>
      <c r="B264" s="175"/>
      <c r="C264" s="191" t="s">
        <v>399</v>
      </c>
      <c r="D264" s="177" t="s">
        <v>33</v>
      </c>
      <c r="E264" s="307">
        <f>3.5/1000</f>
        <v>4.0000000000000001E-3</v>
      </c>
      <c r="F264" s="464">
        <v>58490</v>
      </c>
      <c r="G264" s="491">
        <v>0</v>
      </c>
      <c r="H264" s="464">
        <f t="shared" si="23"/>
        <v>233.96</v>
      </c>
      <c r="I264" s="464">
        <v>0</v>
      </c>
      <c r="J264" s="464">
        <f t="shared" si="22"/>
        <v>233.96</v>
      </c>
      <c r="K264" s="299"/>
      <c r="L264" s="748"/>
    </row>
    <row r="265" spans="1:12" s="180" customFormat="1" hidden="1" outlineLevel="2" x14ac:dyDescent="0.25">
      <c r="A265" s="245" t="s">
        <v>982</v>
      </c>
      <c r="B265" s="175"/>
      <c r="C265" s="176" t="s">
        <v>401</v>
      </c>
      <c r="D265" s="177" t="s">
        <v>33</v>
      </c>
      <c r="E265" s="178">
        <f>2905.92/1000</f>
        <v>2.91</v>
      </c>
      <c r="F265" s="464">
        <v>58150</v>
      </c>
      <c r="G265" s="491">
        <v>0</v>
      </c>
      <c r="H265" s="464">
        <f t="shared" si="23"/>
        <v>169216.5</v>
      </c>
      <c r="I265" s="464">
        <v>0</v>
      </c>
      <c r="J265" s="464">
        <f t="shared" si="22"/>
        <v>169216.5</v>
      </c>
      <c r="K265" s="299"/>
      <c r="L265" s="748"/>
    </row>
    <row r="266" spans="1:12" s="180" customFormat="1" hidden="1" outlineLevel="2" x14ac:dyDescent="0.25">
      <c r="A266" s="245" t="s">
        <v>983</v>
      </c>
      <c r="B266" s="175"/>
      <c r="C266" s="176" t="s">
        <v>426</v>
      </c>
      <c r="D266" s="177" t="s">
        <v>33</v>
      </c>
      <c r="E266" s="178">
        <f>25468.47/1000</f>
        <v>25.47</v>
      </c>
      <c r="F266" s="464">
        <v>58900</v>
      </c>
      <c r="G266" s="491">
        <v>0</v>
      </c>
      <c r="H266" s="464">
        <f t="shared" si="23"/>
        <v>1500183</v>
      </c>
      <c r="I266" s="464">
        <v>0</v>
      </c>
      <c r="J266" s="464">
        <f t="shared" si="22"/>
        <v>1500183</v>
      </c>
      <c r="K266" s="299"/>
      <c r="L266" s="748"/>
    </row>
    <row r="267" spans="1:12" s="180" customFormat="1" hidden="1" outlineLevel="2" x14ac:dyDescent="0.25">
      <c r="A267" s="245" t="s">
        <v>984</v>
      </c>
      <c r="B267" s="175"/>
      <c r="C267" s="176" t="s">
        <v>427</v>
      </c>
      <c r="D267" s="177" t="s">
        <v>33</v>
      </c>
      <c r="E267" s="178">
        <f>2277.41/1000</f>
        <v>2.2799999999999998</v>
      </c>
      <c r="F267" s="464">
        <v>55350</v>
      </c>
      <c r="G267" s="491">
        <v>0</v>
      </c>
      <c r="H267" s="464">
        <f t="shared" si="23"/>
        <v>126198</v>
      </c>
      <c r="I267" s="464">
        <v>0</v>
      </c>
      <c r="J267" s="464">
        <f t="shared" si="22"/>
        <v>126198</v>
      </c>
      <c r="K267" s="299"/>
      <c r="L267" s="748"/>
    </row>
    <row r="268" spans="1:12" s="180" customFormat="1" hidden="1" outlineLevel="2" x14ac:dyDescent="0.25">
      <c r="A268" s="245" t="s">
        <v>985</v>
      </c>
      <c r="B268" s="175"/>
      <c r="C268" s="533" t="s">
        <v>440</v>
      </c>
      <c r="D268" s="177" t="s">
        <v>33</v>
      </c>
      <c r="E268" s="178">
        <f>2523.62/1000</f>
        <v>2.52</v>
      </c>
      <c r="F268" s="464">
        <v>55350</v>
      </c>
      <c r="G268" s="491">
        <v>0</v>
      </c>
      <c r="H268" s="464">
        <f t="shared" si="23"/>
        <v>139482</v>
      </c>
      <c r="I268" s="464">
        <v>0</v>
      </c>
      <c r="J268" s="464">
        <f t="shared" si="22"/>
        <v>139482</v>
      </c>
      <c r="K268" s="299"/>
      <c r="L268" s="748"/>
    </row>
    <row r="269" spans="1:12" s="180" customFormat="1" hidden="1" outlineLevel="2" x14ac:dyDescent="0.25">
      <c r="A269" s="245" t="s">
        <v>986</v>
      </c>
      <c r="B269" s="175"/>
      <c r="C269" s="176" t="s">
        <v>428</v>
      </c>
      <c r="D269" s="177" t="s">
        <v>33</v>
      </c>
      <c r="E269" s="178">
        <f>2034.62/1000</f>
        <v>2.0299999999999998</v>
      </c>
      <c r="F269" s="464">
        <v>55350</v>
      </c>
      <c r="G269" s="491">
        <v>0</v>
      </c>
      <c r="H269" s="464">
        <f t="shared" si="23"/>
        <v>112360.5</v>
      </c>
      <c r="I269" s="464">
        <v>0</v>
      </c>
      <c r="J269" s="464">
        <f t="shared" si="22"/>
        <v>112360.5</v>
      </c>
      <c r="K269" s="299"/>
      <c r="L269" s="748"/>
    </row>
    <row r="270" spans="1:12" s="180" customFormat="1" hidden="1" outlineLevel="2" x14ac:dyDescent="0.25">
      <c r="A270" s="245" t="s">
        <v>987</v>
      </c>
      <c r="B270" s="175"/>
      <c r="C270" s="176" t="s">
        <v>429</v>
      </c>
      <c r="D270" s="177" t="s">
        <v>33</v>
      </c>
      <c r="E270" s="178">
        <f>110652.15/1000</f>
        <v>110.65</v>
      </c>
      <c r="F270" s="464">
        <v>55350</v>
      </c>
      <c r="G270" s="491">
        <v>0</v>
      </c>
      <c r="H270" s="464">
        <f t="shared" si="23"/>
        <v>6124477.5</v>
      </c>
      <c r="I270" s="464">
        <v>0</v>
      </c>
      <c r="J270" s="464">
        <f t="shared" si="22"/>
        <v>6124477.5</v>
      </c>
      <c r="K270" s="299"/>
      <c r="L270" s="748"/>
    </row>
    <row r="271" spans="1:12" s="180" customFormat="1" hidden="1" outlineLevel="2" x14ac:dyDescent="0.25">
      <c r="A271" s="245" t="s">
        <v>988</v>
      </c>
      <c r="B271" s="175"/>
      <c r="C271" s="534" t="s">
        <v>430</v>
      </c>
      <c r="D271" s="177" t="s">
        <v>33</v>
      </c>
      <c r="E271" s="178">
        <f>2607.7/1000</f>
        <v>2.61</v>
      </c>
      <c r="F271" s="464">
        <v>55350</v>
      </c>
      <c r="G271" s="491">
        <v>0</v>
      </c>
      <c r="H271" s="464">
        <f t="shared" si="23"/>
        <v>144463.5</v>
      </c>
      <c r="I271" s="464">
        <v>0</v>
      </c>
      <c r="J271" s="464">
        <f t="shared" si="22"/>
        <v>144463.5</v>
      </c>
      <c r="K271" s="299"/>
      <c r="L271" s="748"/>
    </row>
    <row r="272" spans="1:12" s="180" customFormat="1" hidden="1" outlineLevel="2" x14ac:dyDescent="0.25">
      <c r="A272" s="245" t="s">
        <v>989</v>
      </c>
      <c r="B272" s="175"/>
      <c r="C272" s="534" t="s">
        <v>431</v>
      </c>
      <c r="D272" s="177" t="s">
        <v>33</v>
      </c>
      <c r="E272" s="178">
        <f>872.34/1000</f>
        <v>0.87</v>
      </c>
      <c r="F272" s="464">
        <v>55900</v>
      </c>
      <c r="G272" s="491">
        <v>0</v>
      </c>
      <c r="H272" s="464">
        <f t="shared" si="23"/>
        <v>48633</v>
      </c>
      <c r="I272" s="464">
        <v>0</v>
      </c>
      <c r="J272" s="464">
        <f t="shared" si="22"/>
        <v>48633</v>
      </c>
      <c r="K272" s="299"/>
      <c r="L272" s="748"/>
    </row>
    <row r="273" spans="1:33" s="180" customFormat="1" hidden="1" outlineLevel="1" x14ac:dyDescent="0.25">
      <c r="A273" s="245" t="s">
        <v>990</v>
      </c>
      <c r="B273" s="413"/>
      <c r="C273" s="529" t="s">
        <v>661</v>
      </c>
      <c r="D273" s="342" t="s">
        <v>0</v>
      </c>
      <c r="E273" s="306">
        <f>E274</f>
        <v>909</v>
      </c>
      <c r="F273" s="464"/>
      <c r="G273" s="491">
        <v>5600</v>
      </c>
      <c r="H273" s="464">
        <f t="shared" si="23"/>
        <v>0</v>
      </c>
      <c r="I273" s="464">
        <f>G273*E273</f>
        <v>5090400</v>
      </c>
      <c r="J273" s="464">
        <f t="shared" si="22"/>
        <v>5090400</v>
      </c>
      <c r="K273" s="299"/>
      <c r="L273" s="748"/>
    </row>
    <row r="274" spans="1:33" s="180" customFormat="1" hidden="1" outlineLevel="2" x14ac:dyDescent="0.25">
      <c r="A274" s="245" t="s">
        <v>991</v>
      </c>
      <c r="B274" s="535"/>
      <c r="C274" s="176" t="s">
        <v>433</v>
      </c>
      <c r="D274" s="185" t="s">
        <v>0</v>
      </c>
      <c r="E274" s="181">
        <v>909</v>
      </c>
      <c r="F274" s="464">
        <v>7475</v>
      </c>
      <c r="G274" s="491">
        <v>0</v>
      </c>
      <c r="H274" s="464">
        <f t="shared" si="23"/>
        <v>6794775</v>
      </c>
      <c r="I274" s="464">
        <v>0</v>
      </c>
      <c r="J274" s="464">
        <f t="shared" si="22"/>
        <v>6794775</v>
      </c>
      <c r="K274" s="299"/>
      <c r="L274" s="749"/>
    </row>
    <row r="275" spans="1:33" s="320" customFormat="1" ht="15" hidden="1" outlineLevel="1" x14ac:dyDescent="0.25">
      <c r="A275" s="245" t="s">
        <v>992</v>
      </c>
      <c r="B275" s="408" t="s">
        <v>713</v>
      </c>
      <c r="C275" s="372" t="s">
        <v>434</v>
      </c>
      <c r="D275" s="372"/>
      <c r="E275" s="372"/>
      <c r="F275" s="509"/>
      <c r="G275" s="509"/>
      <c r="H275" s="477"/>
      <c r="I275" s="477">
        <f>G275*E275</f>
        <v>0</v>
      </c>
      <c r="J275" s="477">
        <f t="shared" si="22"/>
        <v>0</v>
      </c>
      <c r="K275" s="301"/>
      <c r="L275" s="319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  <c r="AA275" s="358"/>
      <c r="AB275" s="358"/>
      <c r="AC275" s="358"/>
      <c r="AD275" s="358"/>
      <c r="AE275" s="358"/>
      <c r="AF275" s="358"/>
      <c r="AG275" s="358"/>
    </row>
    <row r="276" spans="1:33" s="358" customFormat="1" ht="15" hidden="1" outlineLevel="1" x14ac:dyDescent="0.25">
      <c r="A276" s="245" t="s">
        <v>993</v>
      </c>
      <c r="B276" s="413"/>
      <c r="C276" s="543" t="s">
        <v>671</v>
      </c>
      <c r="D276" s="544" t="s">
        <v>0</v>
      </c>
      <c r="E276" s="545">
        <f>E277</f>
        <v>100</v>
      </c>
      <c r="F276" s="464"/>
      <c r="G276" s="491">
        <v>5600</v>
      </c>
      <c r="H276" s="464">
        <f t="shared" ref="H276:H290" si="24">F276*E276</f>
        <v>0</v>
      </c>
      <c r="I276" s="464">
        <f>G276*E276</f>
        <v>560000</v>
      </c>
      <c r="J276" s="464">
        <f t="shared" si="22"/>
        <v>560000</v>
      </c>
      <c r="K276" s="297"/>
      <c r="L276" s="362"/>
    </row>
    <row r="277" spans="1:33" s="358" customFormat="1" ht="15" hidden="1" outlineLevel="2" x14ac:dyDescent="0.25">
      <c r="A277" s="245" t="s">
        <v>994</v>
      </c>
      <c r="B277" s="517"/>
      <c r="C277" s="367" t="s">
        <v>662</v>
      </c>
      <c r="D277" s="363" t="s">
        <v>0</v>
      </c>
      <c r="E277" s="546">
        <v>100</v>
      </c>
      <c r="F277" s="464">
        <v>5535</v>
      </c>
      <c r="G277" s="491">
        <v>0</v>
      </c>
      <c r="H277" s="464">
        <f t="shared" si="24"/>
        <v>553500</v>
      </c>
      <c r="I277" s="464">
        <v>0</v>
      </c>
      <c r="J277" s="464">
        <f t="shared" si="22"/>
        <v>553500</v>
      </c>
      <c r="K277" s="360"/>
      <c r="L277" s="360"/>
    </row>
    <row r="278" spans="1:33" s="358" customFormat="1" ht="15" hidden="1" outlineLevel="1" x14ac:dyDescent="0.25">
      <c r="A278" s="245" t="s">
        <v>995</v>
      </c>
      <c r="B278" s="413"/>
      <c r="C278" s="547" t="s">
        <v>383</v>
      </c>
      <c r="D278" s="544" t="s">
        <v>0</v>
      </c>
      <c r="E278" s="548">
        <f>E279</f>
        <v>50</v>
      </c>
      <c r="F278" s="464"/>
      <c r="G278" s="491">
        <v>5600</v>
      </c>
      <c r="H278" s="464">
        <f t="shared" si="24"/>
        <v>0</v>
      </c>
      <c r="I278" s="464">
        <f>G278*E278</f>
        <v>280000</v>
      </c>
      <c r="J278" s="464">
        <f t="shared" si="22"/>
        <v>280000</v>
      </c>
      <c r="K278" s="360"/>
      <c r="L278" s="360"/>
    </row>
    <row r="279" spans="1:33" s="358" customFormat="1" ht="15" hidden="1" outlineLevel="2" x14ac:dyDescent="0.25">
      <c r="A279" s="245" t="s">
        <v>996</v>
      </c>
      <c r="B279" s="517"/>
      <c r="C279" s="250" t="s">
        <v>293</v>
      </c>
      <c r="D279" s="363" t="s">
        <v>0</v>
      </c>
      <c r="E279" s="549">
        <v>50</v>
      </c>
      <c r="F279" s="464">
        <v>6870</v>
      </c>
      <c r="G279" s="491">
        <v>0</v>
      </c>
      <c r="H279" s="464">
        <f t="shared" si="24"/>
        <v>343500</v>
      </c>
      <c r="I279" s="464">
        <v>0</v>
      </c>
      <c r="J279" s="464">
        <f t="shared" si="22"/>
        <v>343500</v>
      </c>
      <c r="K279" s="367"/>
      <c r="L279" s="367"/>
    </row>
    <row r="280" spans="1:33" s="358" customFormat="1" ht="15" hidden="1" outlineLevel="1" x14ac:dyDescent="0.25">
      <c r="A280" s="245" t="s">
        <v>997</v>
      </c>
      <c r="B280" s="413"/>
      <c r="C280" s="547" t="s">
        <v>438</v>
      </c>
      <c r="D280" s="363"/>
      <c r="E280" s="363"/>
      <c r="F280" s="464"/>
      <c r="G280" s="491">
        <v>0</v>
      </c>
      <c r="H280" s="464">
        <f t="shared" si="24"/>
        <v>0</v>
      </c>
      <c r="I280" s="464">
        <f>G280*E280</f>
        <v>0</v>
      </c>
      <c r="J280" s="464">
        <f t="shared" si="22"/>
        <v>0</v>
      </c>
      <c r="K280" s="299"/>
      <c r="L280" s="362"/>
    </row>
    <row r="281" spans="1:33" s="358" customFormat="1" ht="15" hidden="1" outlineLevel="2" x14ac:dyDescent="0.25">
      <c r="A281" s="245" t="s">
        <v>998</v>
      </c>
      <c r="B281" s="517"/>
      <c r="C281" s="550" t="s">
        <v>391</v>
      </c>
      <c r="D281" s="363" t="s">
        <v>390</v>
      </c>
      <c r="E281" s="546">
        <v>85</v>
      </c>
      <c r="F281" s="464">
        <v>633</v>
      </c>
      <c r="G281" s="521">
        <v>290</v>
      </c>
      <c r="H281" s="464">
        <f t="shared" si="24"/>
        <v>53805</v>
      </c>
      <c r="I281" s="464">
        <f>G281*E281</f>
        <v>24650</v>
      </c>
      <c r="J281" s="464">
        <f>H281+I281</f>
        <v>78455</v>
      </c>
      <c r="K281" s="299"/>
      <c r="L281" s="362"/>
    </row>
    <row r="282" spans="1:33" s="358" customFormat="1" ht="15" hidden="1" outlineLevel="1" x14ac:dyDescent="0.25">
      <c r="A282" s="245" t="s">
        <v>999</v>
      </c>
      <c r="B282" s="413"/>
      <c r="C282" s="543" t="s">
        <v>665</v>
      </c>
      <c r="D282" s="544" t="s">
        <v>33</v>
      </c>
      <c r="E282" s="548">
        <f>SUM(E283:E288)</f>
        <v>79.819999999999993</v>
      </c>
      <c r="F282" s="464"/>
      <c r="G282" s="491">
        <v>26900</v>
      </c>
      <c r="H282" s="464">
        <f t="shared" si="24"/>
        <v>0</v>
      </c>
      <c r="I282" s="464">
        <f>G282*E282</f>
        <v>2147158</v>
      </c>
      <c r="J282" s="464">
        <f t="shared" ref="J282:J296" si="25">H282+I282</f>
        <v>2147158</v>
      </c>
      <c r="K282" s="297"/>
      <c r="L282" s="750" t="s">
        <v>632</v>
      </c>
    </row>
    <row r="283" spans="1:33" s="358" customFormat="1" ht="15" hidden="1" outlineLevel="2" x14ac:dyDescent="0.25">
      <c r="A283" s="245" t="s">
        <v>1000</v>
      </c>
      <c r="B283" s="517"/>
      <c r="C283" s="533" t="s">
        <v>401</v>
      </c>
      <c r="D283" s="551" t="s">
        <v>33</v>
      </c>
      <c r="E283" s="546">
        <f>6254.92/1000</f>
        <v>6.25</v>
      </c>
      <c r="F283" s="464">
        <v>58150</v>
      </c>
      <c r="G283" s="491">
        <v>0</v>
      </c>
      <c r="H283" s="464">
        <f t="shared" si="24"/>
        <v>363437.5</v>
      </c>
      <c r="I283" s="464">
        <v>0</v>
      </c>
      <c r="J283" s="464">
        <f t="shared" si="25"/>
        <v>363437.5</v>
      </c>
      <c r="K283" s="360"/>
      <c r="L283" s="751"/>
    </row>
    <row r="284" spans="1:33" s="358" customFormat="1" ht="15" hidden="1" outlineLevel="2" x14ac:dyDescent="0.25">
      <c r="A284" s="245" t="s">
        <v>1001</v>
      </c>
      <c r="B284" s="517"/>
      <c r="C284" s="533" t="s">
        <v>440</v>
      </c>
      <c r="D284" s="551" t="s">
        <v>33</v>
      </c>
      <c r="E284" s="546">
        <f>47078.44/1000</f>
        <v>47.08</v>
      </c>
      <c r="F284" s="464">
        <v>55350</v>
      </c>
      <c r="G284" s="491">
        <v>0</v>
      </c>
      <c r="H284" s="464">
        <f t="shared" si="24"/>
        <v>2605878</v>
      </c>
      <c r="I284" s="464">
        <v>0</v>
      </c>
      <c r="J284" s="464">
        <f t="shared" si="25"/>
        <v>2605878</v>
      </c>
      <c r="K284" s="360"/>
      <c r="L284" s="751"/>
    </row>
    <row r="285" spans="1:33" s="358" customFormat="1" ht="15" hidden="1" outlineLevel="2" x14ac:dyDescent="0.25">
      <c r="A285" s="245" t="s">
        <v>1002</v>
      </c>
      <c r="B285" s="517"/>
      <c r="C285" s="533" t="s">
        <v>429</v>
      </c>
      <c r="D285" s="551" t="s">
        <v>33</v>
      </c>
      <c r="E285" s="546">
        <f>2600.91/1000</f>
        <v>2.6</v>
      </c>
      <c r="F285" s="464">
        <v>55350</v>
      </c>
      <c r="G285" s="491">
        <v>0</v>
      </c>
      <c r="H285" s="464">
        <f t="shared" si="24"/>
        <v>143910</v>
      </c>
      <c r="I285" s="464">
        <v>0</v>
      </c>
      <c r="J285" s="464">
        <f t="shared" si="25"/>
        <v>143910</v>
      </c>
      <c r="K285" s="360"/>
      <c r="L285" s="751"/>
    </row>
    <row r="286" spans="1:33" s="358" customFormat="1" ht="15" hidden="1" outlineLevel="2" x14ac:dyDescent="0.25">
      <c r="A286" s="245" t="s">
        <v>139</v>
      </c>
      <c r="B286" s="517"/>
      <c r="C286" s="534" t="s">
        <v>430</v>
      </c>
      <c r="D286" s="551" t="s">
        <v>33</v>
      </c>
      <c r="E286" s="546">
        <f>436.16/1000</f>
        <v>0.44</v>
      </c>
      <c r="F286" s="464">
        <v>55350</v>
      </c>
      <c r="G286" s="491">
        <v>0</v>
      </c>
      <c r="H286" s="464">
        <f t="shared" si="24"/>
        <v>24354</v>
      </c>
      <c r="I286" s="464">
        <v>0</v>
      </c>
      <c r="J286" s="464">
        <f t="shared" si="25"/>
        <v>24354</v>
      </c>
      <c r="K286" s="360"/>
      <c r="L286" s="751"/>
    </row>
    <row r="287" spans="1:33" s="358" customFormat="1" ht="15" hidden="1" outlineLevel="2" x14ac:dyDescent="0.25">
      <c r="A287" s="245" t="s">
        <v>1003</v>
      </c>
      <c r="B287" s="517"/>
      <c r="C287" s="533" t="s">
        <v>431</v>
      </c>
      <c r="D287" s="551" t="s">
        <v>33</v>
      </c>
      <c r="E287" s="546">
        <f>23432.32/1000</f>
        <v>23.43</v>
      </c>
      <c r="F287" s="464">
        <v>55900</v>
      </c>
      <c r="G287" s="491">
        <v>0</v>
      </c>
      <c r="H287" s="464">
        <f t="shared" si="24"/>
        <v>1309737</v>
      </c>
      <c r="I287" s="464">
        <v>0</v>
      </c>
      <c r="J287" s="464">
        <f t="shared" si="25"/>
        <v>1309737</v>
      </c>
      <c r="K287" s="360"/>
      <c r="L287" s="751"/>
    </row>
    <row r="288" spans="1:33" s="358" customFormat="1" ht="15" hidden="1" outlineLevel="2" x14ac:dyDescent="0.25">
      <c r="A288" s="245" t="s">
        <v>1004</v>
      </c>
      <c r="B288" s="517"/>
      <c r="C288" s="191" t="s">
        <v>410</v>
      </c>
      <c r="D288" s="551" t="s">
        <v>33</v>
      </c>
      <c r="E288" s="363">
        <v>0.02</v>
      </c>
      <c r="F288" s="464">
        <v>80300</v>
      </c>
      <c r="G288" s="491">
        <v>0</v>
      </c>
      <c r="H288" s="464">
        <f t="shared" si="24"/>
        <v>1606</v>
      </c>
      <c r="I288" s="464">
        <v>0</v>
      </c>
      <c r="J288" s="464">
        <f t="shared" si="25"/>
        <v>1606</v>
      </c>
      <c r="K288" s="360"/>
      <c r="L288" s="752"/>
    </row>
    <row r="289" spans="1:33" s="358" customFormat="1" ht="15" hidden="1" outlineLevel="1" x14ac:dyDescent="0.25">
      <c r="A289" s="245" t="s">
        <v>1005</v>
      </c>
      <c r="B289" s="413"/>
      <c r="C289" s="543" t="s">
        <v>666</v>
      </c>
      <c r="D289" s="552" t="s">
        <v>0</v>
      </c>
      <c r="E289" s="553">
        <f>E290</f>
        <v>681</v>
      </c>
      <c r="F289" s="464"/>
      <c r="G289" s="491">
        <v>5600</v>
      </c>
      <c r="H289" s="464">
        <f t="shared" si="24"/>
        <v>0</v>
      </c>
      <c r="I289" s="464">
        <f>G289*E289</f>
        <v>3813600</v>
      </c>
      <c r="J289" s="464">
        <f t="shared" si="25"/>
        <v>3813600</v>
      </c>
      <c r="K289" s="297"/>
      <c r="L289" s="362"/>
    </row>
    <row r="290" spans="1:33" s="358" customFormat="1" ht="15" hidden="1" outlineLevel="2" x14ac:dyDescent="0.25">
      <c r="A290" s="245" t="s">
        <v>1006</v>
      </c>
      <c r="B290" s="554"/>
      <c r="C290" s="550" t="s">
        <v>414</v>
      </c>
      <c r="D290" s="551" t="s">
        <v>0</v>
      </c>
      <c r="E290" s="555">
        <v>681</v>
      </c>
      <c r="F290" s="464">
        <v>7475</v>
      </c>
      <c r="G290" s="491">
        <v>0</v>
      </c>
      <c r="H290" s="464">
        <f t="shared" si="24"/>
        <v>5090475</v>
      </c>
      <c r="I290" s="464">
        <v>0</v>
      </c>
      <c r="J290" s="464">
        <f t="shared" si="25"/>
        <v>5090475</v>
      </c>
      <c r="K290" s="360"/>
      <c r="L290" s="179"/>
    </row>
    <row r="291" spans="1:33" s="320" customFormat="1" ht="15" hidden="1" outlineLevel="1" x14ac:dyDescent="0.25">
      <c r="A291" s="245" t="s">
        <v>1007</v>
      </c>
      <c r="B291" s="409" t="s">
        <v>717</v>
      </c>
      <c r="C291" s="372" t="s">
        <v>443</v>
      </c>
      <c r="D291" s="372"/>
      <c r="E291" s="372"/>
      <c r="F291" s="509"/>
      <c r="G291" s="509"/>
      <c r="H291" s="477"/>
      <c r="I291" s="477">
        <f>G291*E291</f>
        <v>0</v>
      </c>
      <c r="J291" s="477">
        <f t="shared" si="25"/>
        <v>0</v>
      </c>
      <c r="K291" s="301"/>
      <c r="L291" s="319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  <c r="AA291" s="358"/>
      <c r="AB291" s="358"/>
      <c r="AC291" s="358"/>
      <c r="AD291" s="358"/>
      <c r="AE291" s="358"/>
      <c r="AF291" s="358"/>
      <c r="AG291" s="358"/>
    </row>
    <row r="292" spans="1:33" s="358" customFormat="1" ht="15" hidden="1" outlineLevel="1" x14ac:dyDescent="0.25">
      <c r="A292" s="245" t="s">
        <v>1008</v>
      </c>
      <c r="B292" s="413"/>
      <c r="C292" s="543" t="s">
        <v>672</v>
      </c>
      <c r="D292" s="544" t="s">
        <v>0</v>
      </c>
      <c r="E292" s="548">
        <f>E293</f>
        <v>226</v>
      </c>
      <c r="F292" s="464"/>
      <c r="G292" s="491">
        <v>5600</v>
      </c>
      <c r="H292" s="464">
        <f t="shared" ref="H292:H308" si="26">F292*E292</f>
        <v>0</v>
      </c>
      <c r="I292" s="464">
        <f>G292*E292</f>
        <v>1265600</v>
      </c>
      <c r="J292" s="464">
        <f t="shared" si="25"/>
        <v>1265600</v>
      </c>
      <c r="K292" s="299"/>
      <c r="L292" s="362"/>
    </row>
    <row r="293" spans="1:33" s="358" customFormat="1" ht="15" hidden="1" outlineLevel="2" x14ac:dyDescent="0.25">
      <c r="A293" s="245" t="s">
        <v>141</v>
      </c>
      <c r="B293" s="517"/>
      <c r="C293" s="367" t="s">
        <v>662</v>
      </c>
      <c r="D293" s="363" t="s">
        <v>0</v>
      </c>
      <c r="E293" s="546">
        <v>226</v>
      </c>
      <c r="F293" s="464">
        <v>5535</v>
      </c>
      <c r="G293" s="491">
        <v>0</v>
      </c>
      <c r="H293" s="464">
        <f t="shared" si="26"/>
        <v>1250910</v>
      </c>
      <c r="I293" s="464">
        <v>0</v>
      </c>
      <c r="J293" s="464">
        <f t="shared" si="25"/>
        <v>1250910</v>
      </c>
      <c r="K293" s="360"/>
      <c r="L293" s="362"/>
    </row>
    <row r="294" spans="1:33" s="358" customFormat="1" ht="15" hidden="1" outlineLevel="1" x14ac:dyDescent="0.25">
      <c r="A294" s="245" t="s">
        <v>1009</v>
      </c>
      <c r="B294" s="413"/>
      <c r="C294" s="547" t="s">
        <v>383</v>
      </c>
      <c r="D294" s="544" t="s">
        <v>0</v>
      </c>
      <c r="E294" s="548">
        <f>E295</f>
        <v>111</v>
      </c>
      <c r="F294" s="464"/>
      <c r="G294" s="491">
        <v>5600</v>
      </c>
      <c r="H294" s="464">
        <f t="shared" si="26"/>
        <v>0</v>
      </c>
      <c r="I294" s="464">
        <f>G294*E294</f>
        <v>621600</v>
      </c>
      <c r="J294" s="464">
        <f t="shared" si="25"/>
        <v>621600</v>
      </c>
      <c r="K294" s="360"/>
      <c r="L294" s="362"/>
    </row>
    <row r="295" spans="1:33" s="358" customFormat="1" ht="15" hidden="1" outlineLevel="2" x14ac:dyDescent="0.25">
      <c r="A295" s="245" t="s">
        <v>1010</v>
      </c>
      <c r="B295" s="517"/>
      <c r="C295" s="250" t="s">
        <v>293</v>
      </c>
      <c r="D295" s="363" t="s">
        <v>0</v>
      </c>
      <c r="E295" s="546">
        <v>111</v>
      </c>
      <c r="F295" s="464">
        <v>6870</v>
      </c>
      <c r="G295" s="491">
        <v>0</v>
      </c>
      <c r="H295" s="464">
        <f t="shared" si="26"/>
        <v>762570</v>
      </c>
      <c r="I295" s="464">
        <v>0</v>
      </c>
      <c r="J295" s="464">
        <f t="shared" si="25"/>
        <v>762570</v>
      </c>
      <c r="K295" s="367"/>
      <c r="L295" s="362"/>
    </row>
    <row r="296" spans="1:33" s="358" customFormat="1" ht="15" hidden="1" outlineLevel="1" x14ac:dyDescent="0.25">
      <c r="A296" s="245" t="s">
        <v>1011</v>
      </c>
      <c r="B296" s="413"/>
      <c r="C296" s="547" t="s">
        <v>438</v>
      </c>
      <c r="D296" s="544" t="s">
        <v>390</v>
      </c>
      <c r="E296" s="548">
        <v>140</v>
      </c>
      <c r="F296" s="464"/>
      <c r="G296" s="491">
        <v>0</v>
      </c>
      <c r="H296" s="464">
        <f t="shared" si="26"/>
        <v>0</v>
      </c>
      <c r="I296" s="464">
        <f>G296*E296</f>
        <v>0</v>
      </c>
      <c r="J296" s="464">
        <f t="shared" si="25"/>
        <v>0</v>
      </c>
      <c r="K296" s="299"/>
      <c r="L296" s="362"/>
    </row>
    <row r="297" spans="1:33" s="358" customFormat="1" ht="15" hidden="1" outlineLevel="2" x14ac:dyDescent="0.25">
      <c r="A297" s="245" t="s">
        <v>1012</v>
      </c>
      <c r="B297" s="517"/>
      <c r="C297" s="550" t="s">
        <v>391</v>
      </c>
      <c r="D297" s="363" t="s">
        <v>390</v>
      </c>
      <c r="E297" s="546">
        <v>140</v>
      </c>
      <c r="F297" s="464">
        <v>633</v>
      </c>
      <c r="G297" s="521">
        <v>222</v>
      </c>
      <c r="H297" s="464">
        <f t="shared" si="26"/>
        <v>88620</v>
      </c>
      <c r="I297" s="464">
        <f>G297*E297</f>
        <v>31080</v>
      </c>
      <c r="J297" s="464">
        <f>H297+I297</f>
        <v>119700</v>
      </c>
      <c r="K297" s="299"/>
      <c r="L297" s="362"/>
    </row>
    <row r="298" spans="1:33" s="358" customFormat="1" ht="15" hidden="1" outlineLevel="1" x14ac:dyDescent="0.25">
      <c r="A298" s="245" t="s">
        <v>1013</v>
      </c>
      <c r="B298" s="413"/>
      <c r="C298" s="543" t="s">
        <v>667</v>
      </c>
      <c r="D298" s="544" t="s">
        <v>33</v>
      </c>
      <c r="E298" s="560">
        <f>SUM(E299:E306)</f>
        <v>145.88300000000001</v>
      </c>
      <c r="F298" s="464"/>
      <c r="G298" s="491">
        <v>26900</v>
      </c>
      <c r="H298" s="464">
        <f t="shared" si="26"/>
        <v>0</v>
      </c>
      <c r="I298" s="464">
        <f>G298*E298</f>
        <v>3924252.7</v>
      </c>
      <c r="J298" s="464">
        <f t="shared" ref="J298:J361" si="27">H298+I298</f>
        <v>3924252.7</v>
      </c>
      <c r="K298" s="297"/>
      <c r="L298" s="362"/>
    </row>
    <row r="299" spans="1:33" s="358" customFormat="1" ht="15" hidden="1" outlineLevel="2" x14ac:dyDescent="0.25">
      <c r="A299" s="245" t="s">
        <v>1014</v>
      </c>
      <c r="B299" s="517"/>
      <c r="C299" s="533" t="s">
        <v>401</v>
      </c>
      <c r="D299" s="551" t="s">
        <v>33</v>
      </c>
      <c r="E299" s="561">
        <f>15160.56/1000</f>
        <v>15.161</v>
      </c>
      <c r="F299" s="464">
        <v>58150</v>
      </c>
      <c r="G299" s="491">
        <v>0</v>
      </c>
      <c r="H299" s="464">
        <f t="shared" si="26"/>
        <v>881612.15</v>
      </c>
      <c r="I299" s="464">
        <v>0</v>
      </c>
      <c r="J299" s="464">
        <f t="shared" si="27"/>
        <v>881612.15</v>
      </c>
      <c r="K299" s="299"/>
      <c r="L299" s="362"/>
    </row>
    <row r="300" spans="1:33" s="358" customFormat="1" ht="15" hidden="1" outlineLevel="2" x14ac:dyDescent="0.25">
      <c r="A300" s="245" t="s">
        <v>1015</v>
      </c>
      <c r="B300" s="517"/>
      <c r="C300" s="533" t="s">
        <v>426</v>
      </c>
      <c r="D300" s="551" t="s">
        <v>33</v>
      </c>
      <c r="E300" s="561">
        <f>816.52/1000</f>
        <v>0.81699999999999995</v>
      </c>
      <c r="F300" s="464">
        <v>58900</v>
      </c>
      <c r="G300" s="491">
        <v>0</v>
      </c>
      <c r="H300" s="464">
        <f t="shared" si="26"/>
        <v>48121.3</v>
      </c>
      <c r="I300" s="464">
        <v>0</v>
      </c>
      <c r="J300" s="464">
        <f t="shared" si="27"/>
        <v>48121.3</v>
      </c>
      <c r="K300" s="299"/>
      <c r="L300" s="362"/>
    </row>
    <row r="301" spans="1:33" s="358" customFormat="1" ht="15" hidden="1" outlineLevel="2" x14ac:dyDescent="0.25">
      <c r="A301" s="245" t="s">
        <v>1016</v>
      </c>
      <c r="B301" s="517"/>
      <c r="C301" s="533" t="s">
        <v>440</v>
      </c>
      <c r="D301" s="551" t="s">
        <v>33</v>
      </c>
      <c r="E301" s="561">
        <f>95231.85/1000</f>
        <v>95.231999999999999</v>
      </c>
      <c r="F301" s="464">
        <v>55350</v>
      </c>
      <c r="G301" s="491">
        <v>0</v>
      </c>
      <c r="H301" s="464">
        <f t="shared" si="26"/>
        <v>5271091.2000000002</v>
      </c>
      <c r="I301" s="464">
        <v>0</v>
      </c>
      <c r="J301" s="464">
        <f t="shared" si="27"/>
        <v>5271091.2000000002</v>
      </c>
      <c r="K301" s="299"/>
      <c r="L301" s="362"/>
    </row>
    <row r="302" spans="1:33" s="358" customFormat="1" ht="15" hidden="1" outlineLevel="2" x14ac:dyDescent="0.25">
      <c r="A302" s="245" t="s">
        <v>1017</v>
      </c>
      <c r="B302" s="517"/>
      <c r="C302" s="533" t="s">
        <v>428</v>
      </c>
      <c r="D302" s="551" t="s">
        <v>33</v>
      </c>
      <c r="E302" s="561">
        <f>4538.62/1000</f>
        <v>4.5389999999999997</v>
      </c>
      <c r="F302" s="464">
        <v>55350</v>
      </c>
      <c r="G302" s="491">
        <v>0</v>
      </c>
      <c r="H302" s="464">
        <f t="shared" si="26"/>
        <v>251233.65</v>
      </c>
      <c r="I302" s="464">
        <v>0</v>
      </c>
      <c r="J302" s="464">
        <f t="shared" si="27"/>
        <v>251233.65</v>
      </c>
      <c r="K302" s="299"/>
      <c r="L302" s="362"/>
    </row>
    <row r="303" spans="1:33" s="358" customFormat="1" ht="15" hidden="1" outlineLevel="2" x14ac:dyDescent="0.25">
      <c r="A303" s="245" t="s">
        <v>1018</v>
      </c>
      <c r="B303" s="517"/>
      <c r="C303" s="533" t="s">
        <v>429</v>
      </c>
      <c r="D303" s="551" t="s">
        <v>33</v>
      </c>
      <c r="E303" s="561">
        <f>10942.29/1000</f>
        <v>10.942</v>
      </c>
      <c r="F303" s="464">
        <v>55350</v>
      </c>
      <c r="G303" s="491">
        <v>0</v>
      </c>
      <c r="H303" s="464">
        <f t="shared" si="26"/>
        <v>605639.69999999995</v>
      </c>
      <c r="I303" s="464">
        <v>0</v>
      </c>
      <c r="J303" s="464">
        <f t="shared" si="27"/>
        <v>605639.69999999995</v>
      </c>
      <c r="K303" s="299"/>
      <c r="L303" s="362"/>
    </row>
    <row r="304" spans="1:33" s="358" customFormat="1" ht="15" hidden="1" outlineLevel="2" x14ac:dyDescent="0.25">
      <c r="A304" s="245" t="s">
        <v>1019</v>
      </c>
      <c r="B304" s="517"/>
      <c r="C304" s="534" t="s">
        <v>430</v>
      </c>
      <c r="D304" s="551" t="s">
        <v>33</v>
      </c>
      <c r="E304" s="561">
        <f>17985.66/1000</f>
        <v>17.986000000000001</v>
      </c>
      <c r="F304" s="464">
        <v>55350</v>
      </c>
      <c r="G304" s="491">
        <v>0</v>
      </c>
      <c r="H304" s="464">
        <f t="shared" si="26"/>
        <v>995525.1</v>
      </c>
      <c r="I304" s="464">
        <v>0</v>
      </c>
      <c r="J304" s="464">
        <f t="shared" si="27"/>
        <v>995525.1</v>
      </c>
      <c r="K304" s="299"/>
      <c r="L304" s="362"/>
    </row>
    <row r="305" spans="1:33" s="358" customFormat="1" ht="15" hidden="1" outlineLevel="2" x14ac:dyDescent="0.25">
      <c r="A305" s="245" t="s">
        <v>1020</v>
      </c>
      <c r="B305" s="517"/>
      <c r="C305" s="533" t="s">
        <v>431</v>
      </c>
      <c r="D305" s="551" t="s">
        <v>33</v>
      </c>
      <c r="E305" s="561">
        <f>1175.66/1000</f>
        <v>1.1759999999999999</v>
      </c>
      <c r="F305" s="464">
        <v>55900</v>
      </c>
      <c r="G305" s="491">
        <v>0</v>
      </c>
      <c r="H305" s="464">
        <f t="shared" si="26"/>
        <v>65738.399999999994</v>
      </c>
      <c r="I305" s="464">
        <v>0</v>
      </c>
      <c r="J305" s="464">
        <f t="shared" si="27"/>
        <v>65738.399999999994</v>
      </c>
      <c r="K305" s="299"/>
      <c r="L305" s="362"/>
    </row>
    <row r="306" spans="1:33" s="358" customFormat="1" ht="15" hidden="1" outlineLevel="2" x14ac:dyDescent="0.25">
      <c r="A306" s="245" t="s">
        <v>1021</v>
      </c>
      <c r="B306" s="517"/>
      <c r="C306" s="191" t="s">
        <v>410</v>
      </c>
      <c r="D306" s="551" t="s">
        <v>33</v>
      </c>
      <c r="E306" s="561">
        <v>0.03</v>
      </c>
      <c r="F306" s="464">
        <v>80300</v>
      </c>
      <c r="G306" s="491">
        <v>0</v>
      </c>
      <c r="H306" s="464">
        <f t="shared" si="26"/>
        <v>2409</v>
      </c>
      <c r="I306" s="464">
        <v>0</v>
      </c>
      <c r="J306" s="464">
        <f t="shared" si="27"/>
        <v>2409</v>
      </c>
      <c r="K306" s="299"/>
      <c r="L306" s="362"/>
    </row>
    <row r="307" spans="1:33" s="358" customFormat="1" ht="15" hidden="1" outlineLevel="1" x14ac:dyDescent="0.25">
      <c r="A307" s="245" t="s">
        <v>1022</v>
      </c>
      <c r="B307" s="413"/>
      <c r="C307" s="543" t="s">
        <v>668</v>
      </c>
      <c r="D307" s="552" t="s">
        <v>0</v>
      </c>
      <c r="E307" s="548">
        <f>E308</f>
        <v>1389</v>
      </c>
      <c r="F307" s="464"/>
      <c r="G307" s="491">
        <v>5600</v>
      </c>
      <c r="H307" s="464">
        <f t="shared" si="26"/>
        <v>0</v>
      </c>
      <c r="I307" s="464">
        <f>G307*E307</f>
        <v>7778400</v>
      </c>
      <c r="J307" s="464">
        <f t="shared" si="27"/>
        <v>7778400</v>
      </c>
      <c r="K307" s="297"/>
      <c r="L307" s="362"/>
    </row>
    <row r="308" spans="1:33" s="358" customFormat="1" ht="15" hidden="1" outlineLevel="2" x14ac:dyDescent="0.25">
      <c r="A308" s="245" t="s">
        <v>1023</v>
      </c>
      <c r="B308" s="554"/>
      <c r="C308" s="550" t="s">
        <v>414</v>
      </c>
      <c r="D308" s="551" t="s">
        <v>0</v>
      </c>
      <c r="E308" s="546">
        <v>1389</v>
      </c>
      <c r="F308" s="464">
        <v>7475</v>
      </c>
      <c r="G308" s="491">
        <v>0</v>
      </c>
      <c r="H308" s="464">
        <f t="shared" si="26"/>
        <v>10382775</v>
      </c>
      <c r="I308" s="464">
        <v>0</v>
      </c>
      <c r="J308" s="464">
        <f t="shared" si="27"/>
        <v>10382775</v>
      </c>
      <c r="K308" s="299"/>
      <c r="L308" s="362"/>
    </row>
    <row r="309" spans="1:33" s="34" customFormat="1" ht="38.25" collapsed="1" x14ac:dyDescent="0.25">
      <c r="A309" s="245" t="s">
        <v>1024</v>
      </c>
      <c r="B309" s="379" t="s">
        <v>582</v>
      </c>
      <c r="C309" s="376" t="s">
        <v>123</v>
      </c>
      <c r="D309" s="395" t="s">
        <v>33</v>
      </c>
      <c r="E309" s="414">
        <f>SUM(E310:E313)</f>
        <v>96.739000000000004</v>
      </c>
      <c r="F309" s="502"/>
      <c r="G309" s="502"/>
      <c r="H309" s="416"/>
      <c r="I309" s="416">
        <f>G309*E309</f>
        <v>0</v>
      </c>
      <c r="J309" s="416">
        <f t="shared" si="27"/>
        <v>0</v>
      </c>
      <c r="K309" s="417" t="s">
        <v>673</v>
      </c>
      <c r="L309" s="28"/>
      <c r="M309" s="341"/>
      <c r="N309" s="341"/>
      <c r="O309" s="341"/>
      <c r="P309" s="341"/>
      <c r="Q309" s="341"/>
      <c r="R309" s="341"/>
      <c r="S309" s="341"/>
      <c r="T309" s="341"/>
      <c r="U309" s="341"/>
      <c r="V309" s="341"/>
      <c r="W309" s="341"/>
      <c r="X309" s="341"/>
      <c r="Y309" s="341"/>
      <c r="Z309" s="341"/>
      <c r="AA309" s="341"/>
      <c r="AB309" s="341"/>
      <c r="AC309" s="341"/>
      <c r="AD309" s="341"/>
      <c r="AE309" s="341"/>
      <c r="AF309" s="341"/>
      <c r="AG309" s="341"/>
    </row>
    <row r="310" spans="1:33" s="341" customFormat="1" hidden="1" outlineLevel="1" x14ac:dyDescent="0.25">
      <c r="A310" s="245" t="s">
        <v>1025</v>
      </c>
      <c r="B310" s="334" t="s">
        <v>417</v>
      </c>
      <c r="C310" s="335" t="s">
        <v>13</v>
      </c>
      <c r="D310" s="336" t="s">
        <v>33</v>
      </c>
      <c r="E310" s="562">
        <f>11782.1/1000</f>
        <v>11.782</v>
      </c>
      <c r="F310" s="491">
        <v>0</v>
      </c>
      <c r="G310" s="491">
        <v>0</v>
      </c>
      <c r="H310" s="464">
        <f t="shared" ref="H310:H318" si="28">F310*E310</f>
        <v>0</v>
      </c>
      <c r="I310" s="464">
        <f>G310*E310</f>
        <v>0</v>
      </c>
      <c r="J310" s="464">
        <f t="shared" si="27"/>
        <v>0</v>
      </c>
      <c r="K310" s="563" t="s">
        <v>40</v>
      </c>
      <c r="L310" s="747" t="s">
        <v>631</v>
      </c>
    </row>
    <row r="311" spans="1:33" s="341" customFormat="1" hidden="1" outlineLevel="1" x14ac:dyDescent="0.25">
      <c r="A311" s="245" t="s">
        <v>1026</v>
      </c>
      <c r="B311" s="334" t="s">
        <v>418</v>
      </c>
      <c r="C311" s="335" t="s">
        <v>14</v>
      </c>
      <c r="D311" s="336" t="s">
        <v>33</v>
      </c>
      <c r="E311" s="562">
        <f>46848.5/1000</f>
        <v>46.848999999999997</v>
      </c>
      <c r="F311" s="491">
        <v>0</v>
      </c>
      <c r="G311" s="491">
        <v>0</v>
      </c>
      <c r="H311" s="464">
        <f t="shared" si="28"/>
        <v>0</v>
      </c>
      <c r="I311" s="464">
        <f>G311*E311</f>
        <v>0</v>
      </c>
      <c r="J311" s="464">
        <f t="shared" si="27"/>
        <v>0</v>
      </c>
      <c r="K311" s="563" t="s">
        <v>40</v>
      </c>
      <c r="L311" s="748"/>
    </row>
    <row r="312" spans="1:33" s="338" customFormat="1" hidden="1" outlineLevel="1" x14ac:dyDescent="0.25">
      <c r="A312" s="245" t="s">
        <v>1027</v>
      </c>
      <c r="B312" s="334" t="s">
        <v>421</v>
      </c>
      <c r="C312" s="335" t="s">
        <v>15</v>
      </c>
      <c r="D312" s="336" t="s">
        <v>33</v>
      </c>
      <c r="E312" s="562">
        <f>16687.1/1000</f>
        <v>16.687000000000001</v>
      </c>
      <c r="F312" s="491">
        <v>0</v>
      </c>
      <c r="G312" s="491">
        <v>0</v>
      </c>
      <c r="H312" s="464">
        <f t="shared" si="28"/>
        <v>0</v>
      </c>
      <c r="I312" s="464">
        <f>G312*E312</f>
        <v>0</v>
      </c>
      <c r="J312" s="464">
        <f t="shared" si="27"/>
        <v>0</v>
      </c>
      <c r="K312" s="563" t="s">
        <v>40</v>
      </c>
      <c r="L312" s="749"/>
    </row>
    <row r="313" spans="1:33" s="338" customFormat="1" hidden="1" outlineLevel="1" collapsed="1" x14ac:dyDescent="0.25">
      <c r="A313" s="245" t="s">
        <v>1028</v>
      </c>
      <c r="B313" s="334" t="s">
        <v>422</v>
      </c>
      <c r="C313" s="335" t="s">
        <v>34</v>
      </c>
      <c r="D313" s="336" t="s">
        <v>33</v>
      </c>
      <c r="E313" s="562">
        <f>SUM(E314:E318)</f>
        <v>21.420999999999999</v>
      </c>
      <c r="F313" s="464"/>
      <c r="G313" s="491">
        <v>28750</v>
      </c>
      <c r="H313" s="464">
        <f t="shared" si="28"/>
        <v>0</v>
      </c>
      <c r="I313" s="464">
        <f>G313*E313</f>
        <v>615853.75</v>
      </c>
      <c r="J313" s="464">
        <f t="shared" si="27"/>
        <v>615853.75</v>
      </c>
      <c r="K313" s="557"/>
      <c r="L313" s="337"/>
    </row>
    <row r="314" spans="1:33" s="180" customFormat="1" ht="26.25" hidden="1" customHeight="1" outlineLevel="1" x14ac:dyDescent="0.25">
      <c r="A314" s="245" t="s">
        <v>1029</v>
      </c>
      <c r="B314" s="245"/>
      <c r="C314" s="191" t="s">
        <v>399</v>
      </c>
      <c r="D314" s="177" t="s">
        <v>33</v>
      </c>
      <c r="E314" s="564">
        <f>31.44/1000</f>
        <v>3.1E-2</v>
      </c>
      <c r="F314" s="464">
        <v>58490</v>
      </c>
      <c r="G314" s="491">
        <v>0</v>
      </c>
      <c r="H314" s="464">
        <f t="shared" si="28"/>
        <v>1813.19</v>
      </c>
      <c r="I314" s="464">
        <v>0</v>
      </c>
      <c r="J314" s="464">
        <f t="shared" si="27"/>
        <v>1813.19</v>
      </c>
      <c r="K314" s="346"/>
      <c r="L314" s="179"/>
    </row>
    <row r="315" spans="1:33" s="180" customFormat="1" hidden="1" outlineLevel="1" x14ac:dyDescent="0.25">
      <c r="A315" s="245" t="s">
        <v>1030</v>
      </c>
      <c r="B315" s="245"/>
      <c r="C315" s="176" t="s">
        <v>36</v>
      </c>
      <c r="D315" s="177" t="s">
        <v>33</v>
      </c>
      <c r="E315" s="564">
        <f>1113.8/1000</f>
        <v>1.1140000000000001</v>
      </c>
      <c r="F315" s="464">
        <v>78100</v>
      </c>
      <c r="G315" s="491">
        <v>0</v>
      </c>
      <c r="H315" s="464">
        <f t="shared" si="28"/>
        <v>87003.4</v>
      </c>
      <c r="I315" s="464">
        <v>0</v>
      </c>
      <c r="J315" s="464">
        <f t="shared" si="27"/>
        <v>87003.4</v>
      </c>
      <c r="K315" s="346"/>
      <c r="L315" s="179"/>
    </row>
    <row r="316" spans="1:33" s="180" customFormat="1" hidden="1" outlineLevel="1" x14ac:dyDescent="0.25">
      <c r="A316" s="245" t="s">
        <v>1031</v>
      </c>
      <c r="B316" s="245"/>
      <c r="C316" s="176" t="s">
        <v>37</v>
      </c>
      <c r="D316" s="177" t="s">
        <v>33</v>
      </c>
      <c r="E316" s="564">
        <f>15915.31/1000</f>
        <v>15.914999999999999</v>
      </c>
      <c r="F316" s="464">
        <v>83100</v>
      </c>
      <c r="G316" s="491">
        <v>0</v>
      </c>
      <c r="H316" s="464">
        <f t="shared" si="28"/>
        <v>1322536.5</v>
      </c>
      <c r="I316" s="464">
        <v>0</v>
      </c>
      <c r="J316" s="464">
        <f t="shared" si="27"/>
        <v>1322536.5</v>
      </c>
      <c r="K316" s="346"/>
      <c r="L316" s="179"/>
    </row>
    <row r="317" spans="1:33" s="180" customFormat="1" hidden="1" outlineLevel="1" x14ac:dyDescent="0.25">
      <c r="A317" s="245" t="s">
        <v>1032</v>
      </c>
      <c r="B317" s="245"/>
      <c r="C317" s="176" t="s">
        <v>38</v>
      </c>
      <c r="D317" s="177" t="s">
        <v>33</v>
      </c>
      <c r="E317" s="564">
        <f>3052.08/1000</f>
        <v>3.052</v>
      </c>
      <c r="F317" s="464">
        <v>89100</v>
      </c>
      <c r="G317" s="491">
        <v>0</v>
      </c>
      <c r="H317" s="464">
        <f t="shared" si="28"/>
        <v>271933.2</v>
      </c>
      <c r="I317" s="464">
        <v>0</v>
      </c>
      <c r="J317" s="464">
        <f t="shared" si="27"/>
        <v>271933.2</v>
      </c>
      <c r="K317" s="346"/>
      <c r="L317" s="179"/>
    </row>
    <row r="318" spans="1:33" s="180" customFormat="1" hidden="1" outlineLevel="1" x14ac:dyDescent="0.25">
      <c r="A318" s="245" t="s">
        <v>1033</v>
      </c>
      <c r="B318" s="245"/>
      <c r="C318" s="565" t="s">
        <v>39</v>
      </c>
      <c r="D318" s="177" t="s">
        <v>33</v>
      </c>
      <c r="E318" s="564">
        <f>1309.3/1000</f>
        <v>1.3089999999999999</v>
      </c>
      <c r="F318" s="464">
        <v>61561.2</v>
      </c>
      <c r="G318" s="491">
        <v>0</v>
      </c>
      <c r="H318" s="464">
        <f t="shared" si="28"/>
        <v>80583.61</v>
      </c>
      <c r="I318" s="464">
        <v>0</v>
      </c>
      <c r="J318" s="464">
        <f t="shared" si="27"/>
        <v>80583.61</v>
      </c>
      <c r="K318" s="346"/>
      <c r="L318" s="179"/>
    </row>
    <row r="319" spans="1:33" s="338" customFormat="1" ht="25.5" x14ac:dyDescent="0.25">
      <c r="A319" s="245" t="s">
        <v>1034</v>
      </c>
      <c r="B319" s="379" t="s">
        <v>87</v>
      </c>
      <c r="C319" s="376" t="s">
        <v>735</v>
      </c>
      <c r="D319" s="395" t="s">
        <v>0</v>
      </c>
      <c r="E319" s="418">
        <v>35.200000000000003</v>
      </c>
      <c r="F319" s="478"/>
      <c r="G319" s="510"/>
      <c r="H319" s="478"/>
      <c r="I319" s="478"/>
      <c r="J319" s="478"/>
      <c r="K319" s="419"/>
      <c r="L319" s="337"/>
    </row>
    <row r="320" spans="1:33" s="341" customFormat="1" ht="25.5" customHeight="1" x14ac:dyDescent="0.25">
      <c r="A320" s="245" t="s">
        <v>1035</v>
      </c>
      <c r="B320" s="7"/>
      <c r="C320" s="128" t="s">
        <v>714</v>
      </c>
      <c r="D320" s="8"/>
      <c r="E320" s="137"/>
      <c r="F320" s="580"/>
      <c r="G320" s="581"/>
      <c r="H320" s="580"/>
      <c r="I320" s="580">
        <f t="shared" ref="I320:I331" si="29">G320*E320</f>
        <v>0</v>
      </c>
      <c r="J320" s="580">
        <f t="shared" si="27"/>
        <v>0</v>
      </c>
      <c r="K320" s="302"/>
      <c r="L320" s="342"/>
    </row>
    <row r="321" spans="1:33" s="34" customFormat="1" x14ac:dyDescent="0.25">
      <c r="A321" s="245" t="s">
        <v>1036</v>
      </c>
      <c r="B321" s="375" t="s">
        <v>7</v>
      </c>
      <c r="C321" s="376" t="s">
        <v>704</v>
      </c>
      <c r="D321" s="395" t="s">
        <v>0</v>
      </c>
      <c r="E321" s="396">
        <f>E325+E329</f>
        <v>2600</v>
      </c>
      <c r="F321" s="416"/>
      <c r="G321" s="503"/>
      <c r="H321" s="416"/>
      <c r="I321" s="416">
        <f t="shared" si="29"/>
        <v>0</v>
      </c>
      <c r="J321" s="416">
        <f t="shared" si="27"/>
        <v>0</v>
      </c>
      <c r="K321" s="378"/>
      <c r="L321" s="28"/>
      <c r="M321" s="341"/>
      <c r="N321" s="341"/>
      <c r="O321" s="341"/>
      <c r="P321" s="341"/>
      <c r="Q321" s="341"/>
      <c r="R321" s="341"/>
      <c r="S321" s="341"/>
      <c r="T321" s="341"/>
      <c r="U321" s="341"/>
      <c r="V321" s="341"/>
      <c r="W321" s="341"/>
      <c r="X321" s="341"/>
      <c r="Y321" s="341"/>
      <c r="Z321" s="341"/>
      <c r="AA321" s="341"/>
      <c r="AB321" s="341"/>
      <c r="AC321" s="341"/>
      <c r="AD321" s="341"/>
      <c r="AE321" s="341"/>
      <c r="AF321" s="341"/>
      <c r="AG321" s="341"/>
    </row>
    <row r="322" spans="1:33" s="341" customFormat="1" x14ac:dyDescent="0.25">
      <c r="A322" s="245" t="s">
        <v>1037</v>
      </c>
      <c r="B322" s="120" t="s">
        <v>27</v>
      </c>
      <c r="C322" s="119" t="s">
        <v>710</v>
      </c>
      <c r="D322" s="121" t="str">
        <f>D325</f>
        <v>м3</v>
      </c>
      <c r="E322" s="394">
        <f>E325</f>
        <v>770.5</v>
      </c>
      <c r="F322" s="123"/>
      <c r="G322" s="511"/>
      <c r="H322" s="123"/>
      <c r="I322" s="477">
        <f t="shared" si="29"/>
        <v>0</v>
      </c>
      <c r="J322" s="477">
        <f t="shared" si="27"/>
        <v>0</v>
      </c>
      <c r="K322" s="373"/>
      <c r="L322" s="342"/>
    </row>
    <row r="323" spans="1:33" s="341" customFormat="1" x14ac:dyDescent="0.25">
      <c r="A323" s="245" t="s">
        <v>1038</v>
      </c>
      <c r="B323" s="334"/>
      <c r="C323" s="335" t="s">
        <v>707</v>
      </c>
      <c r="D323" s="336" t="s">
        <v>33</v>
      </c>
      <c r="E323" s="247">
        <f>E339+E368+E399</f>
        <v>0.92</v>
      </c>
      <c r="F323" s="464"/>
      <c r="G323" s="491">
        <v>0</v>
      </c>
      <c r="H323" s="464">
        <f>F323*E323</f>
        <v>0</v>
      </c>
      <c r="I323" s="464">
        <f t="shared" si="29"/>
        <v>0</v>
      </c>
      <c r="J323" s="464">
        <f t="shared" si="27"/>
        <v>0</v>
      </c>
      <c r="K323" s="297"/>
      <c r="L323" s="342"/>
    </row>
    <row r="324" spans="1:33" s="341" customFormat="1" x14ac:dyDescent="0.25">
      <c r="A324" s="245" t="s">
        <v>1039</v>
      </c>
      <c r="B324" s="334"/>
      <c r="C324" s="335" t="s">
        <v>708</v>
      </c>
      <c r="D324" s="336" t="s">
        <v>33</v>
      </c>
      <c r="E324" s="405">
        <f>E331+E338+E359+E367+E389+E398-E323</f>
        <v>138.53</v>
      </c>
      <c r="F324" s="464"/>
      <c r="G324" s="491">
        <v>0</v>
      </c>
      <c r="H324" s="464">
        <f>F324*E324</f>
        <v>0</v>
      </c>
      <c r="I324" s="464">
        <f t="shared" si="29"/>
        <v>0</v>
      </c>
      <c r="J324" s="464">
        <f t="shared" si="27"/>
        <v>0</v>
      </c>
      <c r="K324" s="297"/>
      <c r="L324" s="342"/>
    </row>
    <row r="325" spans="1:33" s="341" customFormat="1" ht="15" x14ac:dyDescent="0.25">
      <c r="A325" s="245" t="s">
        <v>1040</v>
      </c>
      <c r="B325" s="527"/>
      <c r="C325" s="335" t="s">
        <v>414</v>
      </c>
      <c r="D325" s="336" t="s">
        <v>0</v>
      </c>
      <c r="E325" s="405">
        <f>E337+E346+E366+E373+E397+E407</f>
        <v>770.5</v>
      </c>
      <c r="F325" s="528"/>
      <c r="G325" s="491">
        <v>0</v>
      </c>
      <c r="H325" s="464">
        <f>F325*E325</f>
        <v>0</v>
      </c>
      <c r="I325" s="464">
        <f t="shared" si="29"/>
        <v>0</v>
      </c>
      <c r="J325" s="464">
        <f t="shared" si="27"/>
        <v>0</v>
      </c>
      <c r="K325" s="297"/>
      <c r="L325" s="342"/>
    </row>
    <row r="326" spans="1:33" s="341" customFormat="1" x14ac:dyDescent="0.25">
      <c r="A326" s="245" t="s">
        <v>1041</v>
      </c>
      <c r="B326" s="120" t="s">
        <v>28</v>
      </c>
      <c r="C326" s="119" t="s">
        <v>709</v>
      </c>
      <c r="D326" s="121" t="str">
        <f>D329</f>
        <v>м3</v>
      </c>
      <c r="E326" s="394">
        <f>E329</f>
        <v>1829.5</v>
      </c>
      <c r="F326" s="123"/>
      <c r="G326" s="511"/>
      <c r="H326" s="123"/>
      <c r="I326" s="477">
        <f t="shared" si="29"/>
        <v>0</v>
      </c>
      <c r="J326" s="477">
        <f t="shared" si="27"/>
        <v>0</v>
      </c>
      <c r="K326" s="373"/>
      <c r="L326" s="342"/>
    </row>
    <row r="327" spans="1:33" s="341" customFormat="1" x14ac:dyDescent="0.25">
      <c r="A327" s="245" t="s">
        <v>1042</v>
      </c>
      <c r="B327" s="334"/>
      <c r="C327" s="335" t="s">
        <v>707</v>
      </c>
      <c r="D327" s="336" t="s">
        <v>33</v>
      </c>
      <c r="E327" s="405">
        <f>E348+E349+E375+E376+E418+E419+E433+E434+E454+E455</f>
        <v>8.5399999999999991</v>
      </c>
      <c r="F327" s="464"/>
      <c r="G327" s="491">
        <v>0</v>
      </c>
      <c r="H327" s="464">
        <f>F327*E327</f>
        <v>0</v>
      </c>
      <c r="I327" s="464">
        <f t="shared" si="29"/>
        <v>0</v>
      </c>
      <c r="J327" s="464">
        <f t="shared" si="27"/>
        <v>0</v>
      </c>
      <c r="K327" s="297"/>
      <c r="L327" s="342"/>
    </row>
    <row r="328" spans="1:33" s="341" customFormat="1" x14ac:dyDescent="0.25">
      <c r="A328" s="245" t="s">
        <v>544</v>
      </c>
      <c r="B328" s="334"/>
      <c r="C328" s="335" t="s">
        <v>708</v>
      </c>
      <c r="D328" s="336" t="s">
        <v>33</v>
      </c>
      <c r="E328" s="405">
        <f>E347+E374+E417+E432+E453-E327</f>
        <v>394.93</v>
      </c>
      <c r="F328" s="464"/>
      <c r="G328" s="491">
        <v>0</v>
      </c>
      <c r="H328" s="464">
        <f>F328*E328</f>
        <v>0</v>
      </c>
      <c r="I328" s="464">
        <f t="shared" si="29"/>
        <v>0</v>
      </c>
      <c r="J328" s="464">
        <f t="shared" si="27"/>
        <v>0</v>
      </c>
      <c r="K328" s="297"/>
      <c r="L328" s="342"/>
    </row>
    <row r="329" spans="1:33" s="341" customFormat="1" ht="15" collapsed="1" x14ac:dyDescent="0.25">
      <c r="A329" s="245" t="s">
        <v>1043</v>
      </c>
      <c r="B329" s="527"/>
      <c r="C329" s="335" t="s">
        <v>414</v>
      </c>
      <c r="D329" s="336" t="s">
        <v>0</v>
      </c>
      <c r="E329" s="405">
        <f>E357+E385+E386+E387+E424+E445+E466</f>
        <v>1829.5</v>
      </c>
      <c r="F329" s="528"/>
      <c r="G329" s="491">
        <v>0</v>
      </c>
      <c r="H329" s="464">
        <f>F329*E329</f>
        <v>0</v>
      </c>
      <c r="I329" s="464">
        <f t="shared" si="29"/>
        <v>0</v>
      </c>
      <c r="J329" s="464">
        <f t="shared" si="27"/>
        <v>0</v>
      </c>
      <c r="K329" s="297"/>
      <c r="L329" s="342"/>
    </row>
    <row r="330" spans="1:33" s="341" customFormat="1" hidden="1" outlineLevel="1" x14ac:dyDescent="0.25">
      <c r="A330" s="245" t="s">
        <v>1044</v>
      </c>
      <c r="B330" s="120" t="s">
        <v>711</v>
      </c>
      <c r="C330" s="119" t="s">
        <v>705</v>
      </c>
      <c r="D330" s="124"/>
      <c r="E330" s="140"/>
      <c r="F330" s="123"/>
      <c r="G330" s="511"/>
      <c r="H330" s="123"/>
      <c r="I330" s="477">
        <f t="shared" si="29"/>
        <v>0</v>
      </c>
      <c r="J330" s="477">
        <f t="shared" si="27"/>
        <v>0</v>
      </c>
      <c r="K330" s="373"/>
      <c r="L330" s="342"/>
    </row>
    <row r="331" spans="1:33" s="180" customFormat="1" ht="13.5" hidden="1" outlineLevel="1" x14ac:dyDescent="0.25">
      <c r="A331" s="245" t="s">
        <v>1045</v>
      </c>
      <c r="B331" s="566"/>
      <c r="C331" s="529" t="s">
        <v>449</v>
      </c>
      <c r="D331" s="342" t="s">
        <v>33</v>
      </c>
      <c r="E331" s="306">
        <f>SUM(E332:E335)</f>
        <v>20.81</v>
      </c>
      <c r="F331" s="461"/>
      <c r="G331" s="491">
        <v>26900</v>
      </c>
      <c r="H331" s="464">
        <f t="shared" ref="H331:H357" si="30">F331*E331</f>
        <v>0</v>
      </c>
      <c r="I331" s="464">
        <f t="shared" si="29"/>
        <v>559789</v>
      </c>
      <c r="J331" s="464">
        <f t="shared" si="27"/>
        <v>559789</v>
      </c>
      <c r="K331" s="542"/>
      <c r="L331" s="179"/>
    </row>
    <row r="332" spans="1:33" s="180" customFormat="1" ht="15" hidden="1" outlineLevel="2" x14ac:dyDescent="0.25">
      <c r="A332" s="245" t="s">
        <v>1046</v>
      </c>
      <c r="B332" s="175"/>
      <c r="C332" s="191" t="s">
        <v>450</v>
      </c>
      <c r="D332" s="185" t="s">
        <v>33</v>
      </c>
      <c r="E332" s="183">
        <f>462/1000</f>
        <v>0.46</v>
      </c>
      <c r="F332" s="530">
        <v>58950</v>
      </c>
      <c r="G332" s="491">
        <v>0</v>
      </c>
      <c r="H332" s="464">
        <f t="shared" si="30"/>
        <v>27117</v>
      </c>
      <c r="I332" s="464">
        <v>0</v>
      </c>
      <c r="J332" s="464">
        <f t="shared" si="27"/>
        <v>27117</v>
      </c>
      <c r="K332" s="299"/>
      <c r="L332" s="179"/>
    </row>
    <row r="333" spans="1:33" s="180" customFormat="1" hidden="1" outlineLevel="2" x14ac:dyDescent="0.25">
      <c r="A333" s="245" t="s">
        <v>1047</v>
      </c>
      <c r="B333" s="175"/>
      <c r="C333" s="191" t="s">
        <v>401</v>
      </c>
      <c r="D333" s="185" t="s">
        <v>33</v>
      </c>
      <c r="E333" s="183">
        <f>4639.84/1000</f>
        <v>4.6399999999999997</v>
      </c>
      <c r="F333" s="464">
        <v>58150</v>
      </c>
      <c r="G333" s="491">
        <v>0</v>
      </c>
      <c r="H333" s="464">
        <f t="shared" si="30"/>
        <v>269816</v>
      </c>
      <c r="I333" s="464">
        <v>0</v>
      </c>
      <c r="J333" s="464">
        <f t="shared" si="27"/>
        <v>269816</v>
      </c>
      <c r="K333" s="299"/>
      <c r="L333" s="179"/>
    </row>
    <row r="334" spans="1:33" s="180" customFormat="1" hidden="1" outlineLevel="2" x14ac:dyDescent="0.25">
      <c r="A334" s="245" t="s">
        <v>1048</v>
      </c>
      <c r="B334" s="175"/>
      <c r="C334" s="191" t="s">
        <v>429</v>
      </c>
      <c r="D334" s="185" t="s">
        <v>33</v>
      </c>
      <c r="E334" s="183">
        <f>1267.58/1000</f>
        <v>1.27</v>
      </c>
      <c r="F334" s="464">
        <v>55350</v>
      </c>
      <c r="G334" s="491">
        <v>0</v>
      </c>
      <c r="H334" s="464">
        <f t="shared" si="30"/>
        <v>70294.5</v>
      </c>
      <c r="I334" s="464">
        <v>0</v>
      </c>
      <c r="J334" s="464">
        <f t="shared" si="27"/>
        <v>70294.5</v>
      </c>
      <c r="K334" s="299"/>
      <c r="L334" s="179"/>
    </row>
    <row r="335" spans="1:33" s="180" customFormat="1" hidden="1" outlineLevel="2" x14ac:dyDescent="0.25">
      <c r="A335" s="245" t="s">
        <v>1049</v>
      </c>
      <c r="B335" s="175"/>
      <c r="C335" s="184" t="s">
        <v>430</v>
      </c>
      <c r="D335" s="185" t="s">
        <v>33</v>
      </c>
      <c r="E335" s="183">
        <f>14437.84/1000</f>
        <v>14.44</v>
      </c>
      <c r="F335" s="464">
        <v>55350</v>
      </c>
      <c r="G335" s="491">
        <v>0</v>
      </c>
      <c r="H335" s="464">
        <f t="shared" si="30"/>
        <v>799254</v>
      </c>
      <c r="I335" s="464">
        <v>0</v>
      </c>
      <c r="J335" s="464">
        <f t="shared" si="27"/>
        <v>799254</v>
      </c>
      <c r="K335" s="299"/>
      <c r="L335" s="179"/>
    </row>
    <row r="336" spans="1:33" s="180" customFormat="1" hidden="1" outlineLevel="1" x14ac:dyDescent="0.25">
      <c r="A336" s="245" t="s">
        <v>1050</v>
      </c>
      <c r="B336" s="567"/>
      <c r="C336" s="538" t="s">
        <v>692</v>
      </c>
      <c r="D336" s="342" t="s">
        <v>0</v>
      </c>
      <c r="E336" s="405">
        <f>E337</f>
        <v>98.28</v>
      </c>
      <c r="F336" s="464"/>
      <c r="G336" s="491">
        <v>5600</v>
      </c>
      <c r="H336" s="464">
        <f t="shared" si="30"/>
        <v>0</v>
      </c>
      <c r="I336" s="464">
        <f>G336*E336</f>
        <v>550368</v>
      </c>
      <c r="J336" s="464">
        <f t="shared" si="27"/>
        <v>550368</v>
      </c>
      <c r="K336" s="297"/>
      <c r="L336" s="179"/>
    </row>
    <row r="337" spans="1:12" s="180" customFormat="1" hidden="1" outlineLevel="2" x14ac:dyDescent="0.25">
      <c r="A337" s="245" t="s">
        <v>1051</v>
      </c>
      <c r="B337" s="535"/>
      <c r="C337" s="193" t="s">
        <v>414</v>
      </c>
      <c r="D337" s="185" t="s">
        <v>0</v>
      </c>
      <c r="E337" s="175">
        <f>2.5*4+2.5*2+2.5*2+2.5*6+2.5*1+2.5*5+2.5*5+1.5*1+3.5*2+1.04*2+1.7*1+1.7*1+1.4*2+2.3*3+2.3*5+0.6*1</f>
        <v>98.28</v>
      </c>
      <c r="F337" s="464">
        <v>7475</v>
      </c>
      <c r="G337" s="491">
        <v>0</v>
      </c>
      <c r="H337" s="464">
        <f t="shared" si="30"/>
        <v>734643</v>
      </c>
      <c r="I337" s="464">
        <v>0</v>
      </c>
      <c r="J337" s="464">
        <f t="shared" si="27"/>
        <v>734643</v>
      </c>
      <c r="K337" s="299"/>
      <c r="L337" s="179"/>
    </row>
    <row r="338" spans="1:12" s="180" customFormat="1" hidden="1" outlineLevel="1" x14ac:dyDescent="0.25">
      <c r="A338" s="245" t="s">
        <v>1052</v>
      </c>
      <c r="B338" s="567"/>
      <c r="C338" s="529" t="s">
        <v>701</v>
      </c>
      <c r="D338" s="342" t="s">
        <v>33</v>
      </c>
      <c r="E338" s="306">
        <f>SUM(E339:E344)</f>
        <v>28.52</v>
      </c>
      <c r="F338" s="464"/>
      <c r="G338" s="491">
        <v>26900</v>
      </c>
      <c r="H338" s="464">
        <f t="shared" si="30"/>
        <v>0</v>
      </c>
      <c r="I338" s="464">
        <f>G338*E338</f>
        <v>767188</v>
      </c>
      <c r="J338" s="464">
        <f t="shared" si="27"/>
        <v>767188</v>
      </c>
      <c r="K338" s="299"/>
      <c r="L338" s="179"/>
    </row>
    <row r="339" spans="1:12" s="180" customFormat="1" hidden="1" outlineLevel="2" x14ac:dyDescent="0.25">
      <c r="A339" s="245" t="s">
        <v>1053</v>
      </c>
      <c r="B339" s="175"/>
      <c r="C339" s="191" t="s">
        <v>399</v>
      </c>
      <c r="D339" s="185" t="s">
        <v>33</v>
      </c>
      <c r="E339" s="181">
        <f>411.62/1000</f>
        <v>0.41</v>
      </c>
      <c r="F339" s="464">
        <v>58490</v>
      </c>
      <c r="G339" s="491">
        <v>0</v>
      </c>
      <c r="H339" s="464">
        <f t="shared" si="30"/>
        <v>23980.9</v>
      </c>
      <c r="I339" s="464">
        <v>0</v>
      </c>
      <c r="J339" s="464">
        <f t="shared" si="27"/>
        <v>23980.9</v>
      </c>
      <c r="K339" s="299"/>
      <c r="L339" s="179"/>
    </row>
    <row r="340" spans="1:12" s="180" customFormat="1" hidden="1" outlineLevel="2" x14ac:dyDescent="0.25">
      <c r="A340" s="245" t="s">
        <v>1054</v>
      </c>
      <c r="B340" s="175"/>
      <c r="C340" s="191" t="s">
        <v>401</v>
      </c>
      <c r="D340" s="185" t="s">
        <v>33</v>
      </c>
      <c r="E340" s="181">
        <f>302.7/1000</f>
        <v>0.3</v>
      </c>
      <c r="F340" s="464">
        <v>58150</v>
      </c>
      <c r="G340" s="491">
        <v>0</v>
      </c>
      <c r="H340" s="464">
        <f t="shared" si="30"/>
        <v>17445</v>
      </c>
      <c r="I340" s="464">
        <v>0</v>
      </c>
      <c r="J340" s="464">
        <f t="shared" si="27"/>
        <v>17445</v>
      </c>
      <c r="K340" s="299"/>
      <c r="L340" s="179"/>
    </row>
    <row r="341" spans="1:12" s="180" customFormat="1" hidden="1" outlineLevel="2" x14ac:dyDescent="0.25">
      <c r="A341" s="245" t="s">
        <v>1055</v>
      </c>
      <c r="B341" s="175"/>
      <c r="C341" s="191" t="s">
        <v>426</v>
      </c>
      <c r="D341" s="185" t="s">
        <v>33</v>
      </c>
      <c r="E341" s="181">
        <f>7771.32/1000</f>
        <v>7.77</v>
      </c>
      <c r="F341" s="464">
        <v>58900</v>
      </c>
      <c r="G341" s="491">
        <v>0</v>
      </c>
      <c r="H341" s="464">
        <f t="shared" si="30"/>
        <v>457653</v>
      </c>
      <c r="I341" s="464">
        <v>0</v>
      </c>
      <c r="J341" s="464">
        <f t="shared" si="27"/>
        <v>457653</v>
      </c>
      <c r="K341" s="299"/>
      <c r="L341" s="179"/>
    </row>
    <row r="342" spans="1:12" s="180" customFormat="1" hidden="1" outlineLevel="2" x14ac:dyDescent="0.25">
      <c r="A342" s="245" t="s">
        <v>1056</v>
      </c>
      <c r="B342" s="175"/>
      <c r="C342" s="191" t="s">
        <v>427</v>
      </c>
      <c r="D342" s="185" t="s">
        <v>33</v>
      </c>
      <c r="E342" s="181">
        <f>10831.6/1000</f>
        <v>10.83</v>
      </c>
      <c r="F342" s="464">
        <v>55350</v>
      </c>
      <c r="G342" s="491">
        <v>0</v>
      </c>
      <c r="H342" s="464">
        <f t="shared" si="30"/>
        <v>599440.5</v>
      </c>
      <c r="I342" s="464">
        <v>0</v>
      </c>
      <c r="J342" s="464">
        <f t="shared" si="27"/>
        <v>599440.5</v>
      </c>
      <c r="K342" s="299"/>
      <c r="L342" s="179"/>
    </row>
    <row r="343" spans="1:12" s="180" customFormat="1" hidden="1" outlineLevel="2" x14ac:dyDescent="0.25">
      <c r="A343" s="245" t="s">
        <v>1057</v>
      </c>
      <c r="B343" s="175"/>
      <c r="C343" s="533" t="s">
        <v>440</v>
      </c>
      <c r="D343" s="185" t="s">
        <v>33</v>
      </c>
      <c r="E343" s="181">
        <f>3064.79/1000</f>
        <v>3.06</v>
      </c>
      <c r="F343" s="464">
        <v>55350</v>
      </c>
      <c r="G343" s="491">
        <v>0</v>
      </c>
      <c r="H343" s="464">
        <f t="shared" si="30"/>
        <v>169371</v>
      </c>
      <c r="I343" s="464">
        <v>0</v>
      </c>
      <c r="J343" s="464">
        <f t="shared" si="27"/>
        <v>169371</v>
      </c>
      <c r="K343" s="299"/>
      <c r="L343" s="179"/>
    </row>
    <row r="344" spans="1:12" s="180" customFormat="1" hidden="1" outlineLevel="2" x14ac:dyDescent="0.25">
      <c r="A344" s="245" t="s">
        <v>1058</v>
      </c>
      <c r="B344" s="175"/>
      <c r="C344" s="191" t="s">
        <v>428</v>
      </c>
      <c r="D344" s="185" t="s">
        <v>33</v>
      </c>
      <c r="E344" s="181">
        <f>6153.4/1000</f>
        <v>6.15</v>
      </c>
      <c r="F344" s="464">
        <v>55350</v>
      </c>
      <c r="G344" s="491">
        <v>0</v>
      </c>
      <c r="H344" s="464">
        <f t="shared" si="30"/>
        <v>340402.5</v>
      </c>
      <c r="I344" s="464">
        <v>0</v>
      </c>
      <c r="J344" s="464">
        <f t="shared" si="27"/>
        <v>340402.5</v>
      </c>
      <c r="K344" s="299"/>
      <c r="L344" s="179"/>
    </row>
    <row r="345" spans="1:12" s="180" customFormat="1" hidden="1" outlineLevel="1" x14ac:dyDescent="0.25">
      <c r="A345" s="245" t="s">
        <v>1059</v>
      </c>
      <c r="B345" s="567"/>
      <c r="C345" s="538" t="s">
        <v>456</v>
      </c>
      <c r="D345" s="342" t="s">
        <v>0</v>
      </c>
      <c r="E345" s="306">
        <f>E346</f>
        <v>172.8</v>
      </c>
      <c r="F345" s="464"/>
      <c r="G345" s="491">
        <v>5600</v>
      </c>
      <c r="H345" s="464">
        <f t="shared" si="30"/>
        <v>0</v>
      </c>
      <c r="I345" s="464">
        <f>G345*E345</f>
        <v>967680</v>
      </c>
      <c r="J345" s="464">
        <f t="shared" si="27"/>
        <v>967680</v>
      </c>
      <c r="K345" s="299"/>
      <c r="L345" s="179"/>
    </row>
    <row r="346" spans="1:12" s="180" customFormat="1" hidden="1" outlineLevel="2" x14ac:dyDescent="0.25">
      <c r="A346" s="245" t="s">
        <v>1060</v>
      </c>
      <c r="B346" s="568"/>
      <c r="C346" s="193" t="s">
        <v>414</v>
      </c>
      <c r="D346" s="185" t="s">
        <v>0</v>
      </c>
      <c r="E346" s="181">
        <v>172.8</v>
      </c>
      <c r="F346" s="464">
        <v>7475</v>
      </c>
      <c r="G346" s="491">
        <v>0</v>
      </c>
      <c r="H346" s="464">
        <f t="shared" si="30"/>
        <v>1291680</v>
      </c>
      <c r="I346" s="464">
        <v>0</v>
      </c>
      <c r="J346" s="464">
        <f t="shared" si="27"/>
        <v>1291680</v>
      </c>
      <c r="K346" s="299"/>
      <c r="L346" s="179"/>
    </row>
    <row r="347" spans="1:12" s="180" customFormat="1" hidden="1" outlineLevel="1" x14ac:dyDescent="0.25">
      <c r="A347" s="245" t="s">
        <v>1061</v>
      </c>
      <c r="B347" s="567"/>
      <c r="C347" s="529" t="s">
        <v>683</v>
      </c>
      <c r="D347" s="342" t="s">
        <v>33</v>
      </c>
      <c r="E347" s="306">
        <f>SUM(E348:E355)</f>
        <v>57.33</v>
      </c>
      <c r="F347" s="461"/>
      <c r="G347" s="491">
        <v>26900</v>
      </c>
      <c r="H347" s="464">
        <f t="shared" si="30"/>
        <v>0</v>
      </c>
      <c r="I347" s="464">
        <f>G347*E347</f>
        <v>1542177</v>
      </c>
      <c r="J347" s="464">
        <f t="shared" si="27"/>
        <v>1542177</v>
      </c>
      <c r="K347" s="299"/>
      <c r="L347" s="747" t="s">
        <v>627</v>
      </c>
    </row>
    <row r="348" spans="1:12" s="180" customFormat="1" hidden="1" outlineLevel="2" x14ac:dyDescent="0.25">
      <c r="A348" s="245" t="s">
        <v>1062</v>
      </c>
      <c r="B348" s="569"/>
      <c r="C348" s="176" t="s">
        <v>399</v>
      </c>
      <c r="D348" s="175" t="s">
        <v>33</v>
      </c>
      <c r="E348" s="570">
        <f>182.88/1000</f>
        <v>0.18</v>
      </c>
      <c r="F348" s="464">
        <v>58490</v>
      </c>
      <c r="G348" s="491">
        <v>0</v>
      </c>
      <c r="H348" s="464">
        <f t="shared" si="30"/>
        <v>10528.2</v>
      </c>
      <c r="I348" s="464">
        <v>0</v>
      </c>
      <c r="J348" s="464">
        <f t="shared" si="27"/>
        <v>10528.2</v>
      </c>
      <c r="K348" s="299"/>
      <c r="L348" s="748"/>
    </row>
    <row r="349" spans="1:12" s="180" customFormat="1" ht="15" hidden="1" outlineLevel="2" x14ac:dyDescent="0.25">
      <c r="A349" s="245" t="s">
        <v>1063</v>
      </c>
      <c r="B349" s="175"/>
      <c r="C349" s="176" t="s">
        <v>459</v>
      </c>
      <c r="D349" s="2" t="s">
        <v>33</v>
      </c>
      <c r="E349" s="570">
        <f>1206.54/1000</f>
        <v>1.21</v>
      </c>
      <c r="F349" s="571">
        <v>59450</v>
      </c>
      <c r="G349" s="491">
        <v>0</v>
      </c>
      <c r="H349" s="464">
        <f t="shared" si="30"/>
        <v>71934.5</v>
      </c>
      <c r="I349" s="464">
        <v>0</v>
      </c>
      <c r="J349" s="464">
        <f t="shared" si="27"/>
        <v>71934.5</v>
      </c>
      <c r="K349" s="299"/>
      <c r="L349" s="748"/>
    </row>
    <row r="350" spans="1:12" s="180" customFormat="1" hidden="1" outlineLevel="2" x14ac:dyDescent="0.25">
      <c r="A350" s="245" t="s">
        <v>1064</v>
      </c>
      <c r="B350" s="175"/>
      <c r="C350" s="176" t="s">
        <v>450</v>
      </c>
      <c r="D350" s="2" t="s">
        <v>33</v>
      </c>
      <c r="E350" s="570">
        <f>551.02/1000</f>
        <v>0.55000000000000004</v>
      </c>
      <c r="F350" s="464">
        <v>58950</v>
      </c>
      <c r="G350" s="491">
        <v>0</v>
      </c>
      <c r="H350" s="464">
        <f t="shared" si="30"/>
        <v>32422.5</v>
      </c>
      <c r="I350" s="464">
        <v>0</v>
      </c>
      <c r="J350" s="464">
        <f t="shared" si="27"/>
        <v>32422.5</v>
      </c>
      <c r="K350" s="299"/>
      <c r="L350" s="748"/>
    </row>
    <row r="351" spans="1:12" s="180" customFormat="1" hidden="1" outlineLevel="2" x14ac:dyDescent="0.25">
      <c r="A351" s="245" t="s">
        <v>1065</v>
      </c>
      <c r="B351" s="175"/>
      <c r="C351" s="176" t="s">
        <v>426</v>
      </c>
      <c r="D351" s="2" t="s">
        <v>33</v>
      </c>
      <c r="E351" s="570">
        <f>1049.6/1000</f>
        <v>1.05</v>
      </c>
      <c r="F351" s="464">
        <v>58900</v>
      </c>
      <c r="G351" s="491">
        <v>0</v>
      </c>
      <c r="H351" s="464">
        <f t="shared" si="30"/>
        <v>61845</v>
      </c>
      <c r="I351" s="464">
        <v>0</v>
      </c>
      <c r="J351" s="464">
        <f t="shared" si="27"/>
        <v>61845</v>
      </c>
      <c r="K351" s="299"/>
      <c r="L351" s="748"/>
    </row>
    <row r="352" spans="1:12" s="180" customFormat="1" hidden="1" outlineLevel="2" x14ac:dyDescent="0.25">
      <c r="A352" s="245" t="s">
        <v>1066</v>
      </c>
      <c r="B352" s="175"/>
      <c r="C352" s="176" t="s">
        <v>427</v>
      </c>
      <c r="D352" s="2" t="s">
        <v>33</v>
      </c>
      <c r="E352" s="570">
        <f>32675.67/1000</f>
        <v>32.68</v>
      </c>
      <c r="F352" s="464">
        <v>55350</v>
      </c>
      <c r="G352" s="491">
        <v>0</v>
      </c>
      <c r="H352" s="464">
        <f t="shared" si="30"/>
        <v>1808838</v>
      </c>
      <c r="I352" s="464">
        <v>0</v>
      </c>
      <c r="J352" s="464">
        <f t="shared" si="27"/>
        <v>1808838</v>
      </c>
      <c r="K352" s="299"/>
      <c r="L352" s="748"/>
    </row>
    <row r="353" spans="1:12" s="180" customFormat="1" hidden="1" outlineLevel="2" x14ac:dyDescent="0.25">
      <c r="A353" s="245" t="s">
        <v>1067</v>
      </c>
      <c r="B353" s="175"/>
      <c r="C353" s="533" t="s">
        <v>440</v>
      </c>
      <c r="D353" s="2" t="s">
        <v>33</v>
      </c>
      <c r="E353" s="570">
        <f>13296.59/1000</f>
        <v>13.3</v>
      </c>
      <c r="F353" s="464">
        <v>55350</v>
      </c>
      <c r="G353" s="491">
        <v>0</v>
      </c>
      <c r="H353" s="464">
        <f t="shared" si="30"/>
        <v>736155</v>
      </c>
      <c r="I353" s="464">
        <v>0</v>
      </c>
      <c r="J353" s="464">
        <f t="shared" si="27"/>
        <v>736155</v>
      </c>
      <c r="K353" s="299"/>
      <c r="L353" s="748"/>
    </row>
    <row r="354" spans="1:12" s="180" customFormat="1" hidden="1" outlineLevel="2" x14ac:dyDescent="0.25">
      <c r="A354" s="245" t="s">
        <v>1068</v>
      </c>
      <c r="B354" s="175"/>
      <c r="C354" s="176" t="s">
        <v>428</v>
      </c>
      <c r="D354" s="2" t="s">
        <v>33</v>
      </c>
      <c r="E354" s="570">
        <f>5302.05/1000</f>
        <v>5.3</v>
      </c>
      <c r="F354" s="464">
        <v>55350</v>
      </c>
      <c r="G354" s="491">
        <v>0</v>
      </c>
      <c r="H354" s="464">
        <f t="shared" si="30"/>
        <v>293355</v>
      </c>
      <c r="I354" s="464">
        <v>0</v>
      </c>
      <c r="J354" s="464">
        <f t="shared" si="27"/>
        <v>293355</v>
      </c>
      <c r="K354" s="299"/>
      <c r="L354" s="748"/>
    </row>
    <row r="355" spans="1:12" s="180" customFormat="1" hidden="1" outlineLevel="2" x14ac:dyDescent="0.25">
      <c r="A355" s="245" t="s">
        <v>1069</v>
      </c>
      <c r="B355" s="175"/>
      <c r="C355" s="176" t="s">
        <v>429</v>
      </c>
      <c r="D355" s="2" t="s">
        <v>33</v>
      </c>
      <c r="E355" s="570">
        <f>3063.14/1000</f>
        <v>3.06</v>
      </c>
      <c r="F355" s="464">
        <v>55350</v>
      </c>
      <c r="G355" s="491">
        <v>0</v>
      </c>
      <c r="H355" s="464">
        <f t="shared" si="30"/>
        <v>169371</v>
      </c>
      <c r="I355" s="464">
        <v>0</v>
      </c>
      <c r="J355" s="464">
        <f t="shared" si="27"/>
        <v>169371</v>
      </c>
      <c r="K355" s="299"/>
      <c r="L355" s="748"/>
    </row>
    <row r="356" spans="1:12" s="180" customFormat="1" hidden="1" outlineLevel="1" x14ac:dyDescent="0.25">
      <c r="A356" s="245" t="s">
        <v>1070</v>
      </c>
      <c r="B356" s="567"/>
      <c r="C356" s="337" t="s">
        <v>461</v>
      </c>
      <c r="D356" s="342" t="s">
        <v>0</v>
      </c>
      <c r="E356" s="306">
        <f>E357</f>
        <v>338.5</v>
      </c>
      <c r="F356" s="464"/>
      <c r="G356" s="491">
        <v>5600</v>
      </c>
      <c r="H356" s="464">
        <f t="shared" si="30"/>
        <v>0</v>
      </c>
      <c r="I356" s="464">
        <f>G356*E356</f>
        <v>1895600</v>
      </c>
      <c r="J356" s="464">
        <f t="shared" si="27"/>
        <v>1895600</v>
      </c>
      <c r="K356" s="299"/>
      <c r="L356" s="748"/>
    </row>
    <row r="357" spans="1:12" s="180" customFormat="1" hidden="1" outlineLevel="2" x14ac:dyDescent="0.25">
      <c r="A357" s="245" t="s">
        <v>1071</v>
      </c>
      <c r="B357" s="175"/>
      <c r="C357" s="193" t="s">
        <v>414</v>
      </c>
      <c r="D357" s="177" t="s">
        <v>0</v>
      </c>
      <c r="E357" s="181">
        <v>338.5</v>
      </c>
      <c r="F357" s="464">
        <v>7475</v>
      </c>
      <c r="G357" s="491">
        <v>0</v>
      </c>
      <c r="H357" s="464">
        <f t="shared" si="30"/>
        <v>2530287.5</v>
      </c>
      <c r="I357" s="464">
        <v>0</v>
      </c>
      <c r="J357" s="464">
        <f t="shared" si="27"/>
        <v>2530287.5</v>
      </c>
      <c r="K357" s="299"/>
      <c r="L357" s="749"/>
    </row>
    <row r="358" spans="1:12" s="341" customFormat="1" hidden="1" outlineLevel="1" collapsed="1" x14ac:dyDescent="0.25">
      <c r="A358" s="245" t="s">
        <v>1072</v>
      </c>
      <c r="B358" s="120" t="s">
        <v>712</v>
      </c>
      <c r="C358" s="119" t="s">
        <v>706</v>
      </c>
      <c r="D358" s="124"/>
      <c r="E358" s="140"/>
      <c r="F358" s="123"/>
      <c r="G358" s="511"/>
      <c r="H358" s="123"/>
      <c r="I358" s="477">
        <f>G358*E358</f>
        <v>0</v>
      </c>
      <c r="J358" s="477">
        <f t="shared" si="27"/>
        <v>0</v>
      </c>
      <c r="K358" s="373"/>
      <c r="L358" s="342"/>
    </row>
    <row r="359" spans="1:12" s="180" customFormat="1" ht="13.5" hidden="1" outlineLevel="1" x14ac:dyDescent="0.25">
      <c r="A359" s="245" t="s">
        <v>1073</v>
      </c>
      <c r="B359" s="567"/>
      <c r="C359" s="529" t="s">
        <v>463</v>
      </c>
      <c r="D359" s="342" t="s">
        <v>33</v>
      </c>
      <c r="E359" s="306">
        <f>SUM(E360:E364)</f>
        <v>19.89</v>
      </c>
      <c r="F359" s="461"/>
      <c r="G359" s="491">
        <v>26900</v>
      </c>
      <c r="H359" s="464">
        <f t="shared" ref="H359:H387" si="31">F359*E359</f>
        <v>0</v>
      </c>
      <c r="I359" s="464">
        <f>G359*E359</f>
        <v>535041</v>
      </c>
      <c r="J359" s="464">
        <f t="shared" si="27"/>
        <v>535041</v>
      </c>
      <c r="K359" s="542"/>
      <c r="L359" s="747" t="s">
        <v>626</v>
      </c>
    </row>
    <row r="360" spans="1:12" s="180" customFormat="1" hidden="1" outlineLevel="2" x14ac:dyDescent="0.25">
      <c r="A360" s="245" t="s">
        <v>1074</v>
      </c>
      <c r="B360" s="175"/>
      <c r="C360" s="176" t="s">
        <v>450</v>
      </c>
      <c r="D360" s="177" t="s">
        <v>33</v>
      </c>
      <c r="E360" s="178">
        <f>219.08/1000</f>
        <v>0.22</v>
      </c>
      <c r="F360" s="464">
        <v>58950</v>
      </c>
      <c r="G360" s="491">
        <v>0</v>
      </c>
      <c r="H360" s="464">
        <f t="shared" si="31"/>
        <v>12969</v>
      </c>
      <c r="I360" s="464">
        <v>0</v>
      </c>
      <c r="J360" s="464">
        <f t="shared" si="27"/>
        <v>12969</v>
      </c>
      <c r="K360" s="299"/>
      <c r="L360" s="748"/>
    </row>
    <row r="361" spans="1:12" s="180" customFormat="1" hidden="1" outlineLevel="2" x14ac:dyDescent="0.25">
      <c r="A361" s="245" t="s">
        <v>1075</v>
      </c>
      <c r="B361" s="175"/>
      <c r="C361" s="176" t="s">
        <v>401</v>
      </c>
      <c r="D361" s="177" t="s">
        <v>33</v>
      </c>
      <c r="E361" s="178">
        <f>3724.7/1000</f>
        <v>3.72</v>
      </c>
      <c r="F361" s="464">
        <v>58150</v>
      </c>
      <c r="G361" s="491">
        <v>0</v>
      </c>
      <c r="H361" s="464">
        <f t="shared" si="31"/>
        <v>216318</v>
      </c>
      <c r="I361" s="464">
        <v>0</v>
      </c>
      <c r="J361" s="464">
        <f t="shared" si="27"/>
        <v>216318</v>
      </c>
      <c r="K361" s="299"/>
      <c r="L361" s="748"/>
    </row>
    <row r="362" spans="1:12" s="180" customFormat="1" hidden="1" outlineLevel="2" x14ac:dyDescent="0.25">
      <c r="A362" s="245" t="s">
        <v>1076</v>
      </c>
      <c r="B362" s="175"/>
      <c r="C362" s="176" t="s">
        <v>429</v>
      </c>
      <c r="D362" s="177" t="s">
        <v>33</v>
      </c>
      <c r="E362" s="178">
        <f>8246.78/1000</f>
        <v>8.25</v>
      </c>
      <c r="F362" s="464">
        <v>55350</v>
      </c>
      <c r="G362" s="491">
        <v>0</v>
      </c>
      <c r="H362" s="464">
        <f t="shared" si="31"/>
        <v>456637.5</v>
      </c>
      <c r="I362" s="464">
        <v>0</v>
      </c>
      <c r="J362" s="464">
        <f t="shared" ref="J362:J425" si="32">H362+I362</f>
        <v>456637.5</v>
      </c>
      <c r="K362" s="299"/>
      <c r="L362" s="748"/>
    </row>
    <row r="363" spans="1:12" s="180" customFormat="1" hidden="1" outlineLevel="2" x14ac:dyDescent="0.25">
      <c r="A363" s="245" t="s">
        <v>1077</v>
      </c>
      <c r="B363" s="175"/>
      <c r="C363" s="534" t="s">
        <v>430</v>
      </c>
      <c r="D363" s="177" t="s">
        <v>33</v>
      </c>
      <c r="E363" s="178">
        <f>5966.52/1000</f>
        <v>5.97</v>
      </c>
      <c r="F363" s="464">
        <v>55350</v>
      </c>
      <c r="G363" s="491">
        <v>0</v>
      </c>
      <c r="H363" s="464">
        <f t="shared" si="31"/>
        <v>330439.5</v>
      </c>
      <c r="I363" s="464">
        <v>0</v>
      </c>
      <c r="J363" s="464">
        <f t="shared" si="32"/>
        <v>330439.5</v>
      </c>
      <c r="K363" s="299"/>
      <c r="L363" s="748"/>
    </row>
    <row r="364" spans="1:12" s="180" customFormat="1" hidden="1" outlineLevel="2" x14ac:dyDescent="0.25">
      <c r="A364" s="245" t="s">
        <v>1078</v>
      </c>
      <c r="B364" s="175"/>
      <c r="C364" s="534" t="s">
        <v>431</v>
      </c>
      <c r="D364" s="177" t="s">
        <v>33</v>
      </c>
      <c r="E364" s="178">
        <f>1732.85/1000</f>
        <v>1.73</v>
      </c>
      <c r="F364" s="464">
        <v>55900</v>
      </c>
      <c r="G364" s="491">
        <v>0</v>
      </c>
      <c r="H364" s="464">
        <f t="shared" si="31"/>
        <v>96707</v>
      </c>
      <c r="I364" s="464">
        <v>0</v>
      </c>
      <c r="J364" s="464">
        <f t="shared" si="32"/>
        <v>96707</v>
      </c>
      <c r="K364" s="299"/>
      <c r="L364" s="748"/>
    </row>
    <row r="365" spans="1:12" s="180" customFormat="1" hidden="1" outlineLevel="1" x14ac:dyDescent="0.25">
      <c r="A365" s="245" t="s">
        <v>1079</v>
      </c>
      <c r="B365" s="567"/>
      <c r="C365" s="538" t="s">
        <v>693</v>
      </c>
      <c r="D365" s="342" t="s">
        <v>0</v>
      </c>
      <c r="E365" s="306">
        <f>E366</f>
        <v>66.8</v>
      </c>
      <c r="F365" s="464"/>
      <c r="G365" s="491">
        <v>5600</v>
      </c>
      <c r="H365" s="464">
        <f t="shared" si="31"/>
        <v>0</v>
      </c>
      <c r="I365" s="464">
        <f>G365*E365</f>
        <v>374080</v>
      </c>
      <c r="J365" s="464">
        <f t="shared" si="32"/>
        <v>374080</v>
      </c>
      <c r="K365" s="299"/>
      <c r="L365" s="748"/>
    </row>
    <row r="366" spans="1:12" s="180" customFormat="1" hidden="1" outlineLevel="2" x14ac:dyDescent="0.25">
      <c r="A366" s="245" t="s">
        <v>1080</v>
      </c>
      <c r="B366" s="175"/>
      <c r="C366" s="176" t="s">
        <v>433</v>
      </c>
      <c r="D366" s="185" t="s">
        <v>0</v>
      </c>
      <c r="E366" s="181">
        <f>0.8*1+1.2*1+2.3*6+2.3*4+2.3*3+2.3*3+2.3*1+2.3*3+2.3*1+3.6*1+3.3*1+1.4*1+0.9*2+1.6*2+3.2*1</f>
        <v>66.8</v>
      </c>
      <c r="F366" s="464">
        <v>7475</v>
      </c>
      <c r="G366" s="491">
        <v>0</v>
      </c>
      <c r="H366" s="464">
        <f t="shared" si="31"/>
        <v>499330</v>
      </c>
      <c r="I366" s="464">
        <f>G366*E366</f>
        <v>0</v>
      </c>
      <c r="J366" s="464">
        <f t="shared" si="32"/>
        <v>499330</v>
      </c>
      <c r="K366" s="299"/>
      <c r="L366" s="748"/>
    </row>
    <row r="367" spans="1:12" s="180" customFormat="1" hidden="1" outlineLevel="1" x14ac:dyDescent="0.25">
      <c r="A367" s="245" t="s">
        <v>1081</v>
      </c>
      <c r="B367" s="567"/>
      <c r="C367" s="529" t="s">
        <v>465</v>
      </c>
      <c r="D367" s="342" t="s">
        <v>33</v>
      </c>
      <c r="E367" s="306">
        <f>SUM(E368:E371)</f>
        <v>6.99</v>
      </c>
      <c r="F367" s="461"/>
      <c r="G367" s="491">
        <v>26900</v>
      </c>
      <c r="H367" s="464">
        <f t="shared" si="31"/>
        <v>0</v>
      </c>
      <c r="I367" s="464">
        <f>G367*E367</f>
        <v>188031</v>
      </c>
      <c r="J367" s="464">
        <f t="shared" si="32"/>
        <v>188031</v>
      </c>
      <c r="K367" s="299"/>
      <c r="L367" s="749"/>
    </row>
    <row r="368" spans="1:12" s="180" customFormat="1" hidden="1" outlineLevel="2" x14ac:dyDescent="0.25">
      <c r="A368" s="245" t="s">
        <v>1082</v>
      </c>
      <c r="B368" s="175"/>
      <c r="C368" s="176" t="s">
        <v>399</v>
      </c>
      <c r="D368" s="177" t="s">
        <v>33</v>
      </c>
      <c r="E368" s="181">
        <f>78.09/1000</f>
        <v>0.08</v>
      </c>
      <c r="F368" s="464">
        <v>58490</v>
      </c>
      <c r="G368" s="491">
        <v>0</v>
      </c>
      <c r="H368" s="464">
        <f t="shared" si="31"/>
        <v>4679.2</v>
      </c>
      <c r="I368" s="464">
        <v>0</v>
      </c>
      <c r="J368" s="464">
        <f t="shared" si="32"/>
        <v>4679.2</v>
      </c>
      <c r="K368" s="299"/>
      <c r="L368" s="179"/>
    </row>
    <row r="369" spans="1:12" s="180" customFormat="1" hidden="1" outlineLevel="2" x14ac:dyDescent="0.25">
      <c r="A369" s="245" t="s">
        <v>1083</v>
      </c>
      <c r="B369" s="175"/>
      <c r="C369" s="176" t="s">
        <v>401</v>
      </c>
      <c r="D369" s="177" t="s">
        <v>33</v>
      </c>
      <c r="E369" s="181">
        <f>1620.6/1000</f>
        <v>1.62</v>
      </c>
      <c r="F369" s="464">
        <v>58150</v>
      </c>
      <c r="G369" s="491">
        <v>0</v>
      </c>
      <c r="H369" s="464">
        <f t="shared" si="31"/>
        <v>94203</v>
      </c>
      <c r="I369" s="464">
        <v>0</v>
      </c>
      <c r="J369" s="464">
        <f t="shared" si="32"/>
        <v>94203</v>
      </c>
      <c r="K369" s="299"/>
      <c r="L369" s="179"/>
    </row>
    <row r="370" spans="1:12" s="180" customFormat="1" hidden="1" outlineLevel="2" x14ac:dyDescent="0.25">
      <c r="A370" s="245" t="s">
        <v>1084</v>
      </c>
      <c r="B370" s="175"/>
      <c r="C370" s="176" t="s">
        <v>426</v>
      </c>
      <c r="D370" s="177" t="s">
        <v>33</v>
      </c>
      <c r="E370" s="181">
        <f>2962.05/1000</f>
        <v>2.96</v>
      </c>
      <c r="F370" s="464">
        <v>58900</v>
      </c>
      <c r="G370" s="491">
        <v>0</v>
      </c>
      <c r="H370" s="464">
        <f t="shared" si="31"/>
        <v>174344</v>
      </c>
      <c r="I370" s="464">
        <v>0</v>
      </c>
      <c r="J370" s="464">
        <f t="shared" si="32"/>
        <v>174344</v>
      </c>
      <c r="K370" s="299"/>
      <c r="L370" s="179"/>
    </row>
    <row r="371" spans="1:12" s="180" customFormat="1" hidden="1" outlineLevel="2" x14ac:dyDescent="0.25">
      <c r="A371" s="245" t="s">
        <v>1085</v>
      </c>
      <c r="B371" s="175"/>
      <c r="C371" s="533" t="s">
        <v>440</v>
      </c>
      <c r="D371" s="177" t="s">
        <v>33</v>
      </c>
      <c r="E371" s="181">
        <f>2325/1000</f>
        <v>2.33</v>
      </c>
      <c r="F371" s="464">
        <v>55350</v>
      </c>
      <c r="G371" s="491">
        <v>0</v>
      </c>
      <c r="H371" s="464">
        <f t="shared" si="31"/>
        <v>128965.5</v>
      </c>
      <c r="I371" s="464">
        <v>0</v>
      </c>
      <c r="J371" s="464">
        <f t="shared" si="32"/>
        <v>128965.5</v>
      </c>
      <c r="K371" s="299"/>
      <c r="L371" s="179"/>
    </row>
    <row r="372" spans="1:12" s="180" customFormat="1" hidden="1" outlineLevel="1" x14ac:dyDescent="0.25">
      <c r="A372" s="245" t="s">
        <v>1086</v>
      </c>
      <c r="B372" s="567"/>
      <c r="C372" s="572" t="s">
        <v>466</v>
      </c>
      <c r="D372" s="342" t="s">
        <v>0</v>
      </c>
      <c r="E372" s="306">
        <f>E373</f>
        <v>63.6</v>
      </c>
      <c r="F372" s="464"/>
      <c r="G372" s="491">
        <v>5600</v>
      </c>
      <c r="H372" s="464">
        <f t="shared" si="31"/>
        <v>0</v>
      </c>
      <c r="I372" s="464">
        <f>G372*E372</f>
        <v>356160</v>
      </c>
      <c r="J372" s="464">
        <f t="shared" si="32"/>
        <v>356160</v>
      </c>
      <c r="K372" s="299"/>
      <c r="L372" s="179"/>
    </row>
    <row r="373" spans="1:12" s="180" customFormat="1" hidden="1" outlineLevel="2" x14ac:dyDescent="0.25">
      <c r="A373" s="245" t="s">
        <v>1087</v>
      </c>
      <c r="B373" s="175"/>
      <c r="C373" s="176" t="s">
        <v>433</v>
      </c>
      <c r="D373" s="185" t="s">
        <v>0</v>
      </c>
      <c r="E373" s="181">
        <v>63.6</v>
      </c>
      <c r="F373" s="464">
        <v>7475</v>
      </c>
      <c r="G373" s="491">
        <v>0</v>
      </c>
      <c r="H373" s="464">
        <f t="shared" si="31"/>
        <v>475410</v>
      </c>
      <c r="I373" s="464">
        <v>0</v>
      </c>
      <c r="J373" s="464">
        <f t="shared" si="32"/>
        <v>475410</v>
      </c>
      <c r="K373" s="299"/>
      <c r="L373" s="179"/>
    </row>
    <row r="374" spans="1:12" s="180" customFormat="1" hidden="1" outlineLevel="1" x14ac:dyDescent="0.25">
      <c r="A374" s="245" t="s">
        <v>1088</v>
      </c>
      <c r="B374" s="567"/>
      <c r="C374" s="529" t="s">
        <v>685</v>
      </c>
      <c r="D374" s="342" t="s">
        <v>33</v>
      </c>
      <c r="E374" s="306">
        <f>SUM(E375:E383)</f>
        <v>38.33</v>
      </c>
      <c r="F374" s="461"/>
      <c r="G374" s="491">
        <v>26900</v>
      </c>
      <c r="H374" s="464">
        <f t="shared" si="31"/>
        <v>0</v>
      </c>
      <c r="I374" s="464">
        <f>G374*E374</f>
        <v>1031077</v>
      </c>
      <c r="J374" s="464">
        <f t="shared" si="32"/>
        <v>1031077</v>
      </c>
      <c r="K374" s="299"/>
      <c r="L374" s="179"/>
    </row>
    <row r="375" spans="1:12" s="180" customFormat="1" hidden="1" outlineLevel="2" x14ac:dyDescent="0.25">
      <c r="A375" s="245" t="s">
        <v>1089</v>
      </c>
      <c r="B375" s="175"/>
      <c r="C375" s="176" t="s">
        <v>399</v>
      </c>
      <c r="D375" s="177" t="s">
        <v>33</v>
      </c>
      <c r="E375" s="178">
        <f>80/1000</f>
        <v>0.08</v>
      </c>
      <c r="F375" s="464">
        <v>58490</v>
      </c>
      <c r="G375" s="491">
        <v>0</v>
      </c>
      <c r="H375" s="464">
        <f t="shared" si="31"/>
        <v>4679.2</v>
      </c>
      <c r="I375" s="464">
        <v>0</v>
      </c>
      <c r="J375" s="464">
        <f t="shared" si="32"/>
        <v>4679.2</v>
      </c>
      <c r="K375" s="299"/>
      <c r="L375" s="179"/>
    </row>
    <row r="376" spans="1:12" s="180" customFormat="1" hidden="1" outlineLevel="2" x14ac:dyDescent="0.25">
      <c r="A376" s="245" t="s">
        <v>1090</v>
      </c>
      <c r="B376" s="175"/>
      <c r="C376" s="176" t="s">
        <v>459</v>
      </c>
      <c r="D376" s="177" t="s">
        <v>33</v>
      </c>
      <c r="E376" s="178">
        <f>950/1000</f>
        <v>0.95</v>
      </c>
      <c r="F376" s="464">
        <v>59450</v>
      </c>
      <c r="G376" s="491">
        <v>0</v>
      </c>
      <c r="H376" s="464">
        <f t="shared" si="31"/>
        <v>56477.5</v>
      </c>
      <c r="I376" s="464">
        <v>0</v>
      </c>
      <c r="J376" s="464">
        <f t="shared" si="32"/>
        <v>56477.5</v>
      </c>
      <c r="K376" s="299"/>
      <c r="L376" s="179"/>
    </row>
    <row r="377" spans="1:12" s="180" customFormat="1" hidden="1" outlineLevel="2" x14ac:dyDescent="0.25">
      <c r="A377" s="245" t="s">
        <v>1091</v>
      </c>
      <c r="B377" s="175"/>
      <c r="C377" s="176" t="s">
        <v>450</v>
      </c>
      <c r="D377" s="177" t="s">
        <v>33</v>
      </c>
      <c r="E377" s="178">
        <f>594.66/1000</f>
        <v>0.59</v>
      </c>
      <c r="F377" s="464">
        <v>58950</v>
      </c>
      <c r="G377" s="491">
        <v>0</v>
      </c>
      <c r="H377" s="464">
        <f t="shared" si="31"/>
        <v>34780.5</v>
      </c>
      <c r="I377" s="464">
        <v>0</v>
      </c>
      <c r="J377" s="464">
        <f t="shared" si="32"/>
        <v>34780.5</v>
      </c>
      <c r="K377" s="299"/>
      <c r="L377" s="179"/>
    </row>
    <row r="378" spans="1:12" s="180" customFormat="1" hidden="1" outlineLevel="2" x14ac:dyDescent="0.25">
      <c r="A378" s="245" t="s">
        <v>1092</v>
      </c>
      <c r="B378" s="175"/>
      <c r="C378" s="176" t="s">
        <v>401</v>
      </c>
      <c r="D378" s="177" t="s">
        <v>33</v>
      </c>
      <c r="E378" s="178">
        <f>924.54/1000</f>
        <v>0.92</v>
      </c>
      <c r="F378" s="464">
        <v>58150</v>
      </c>
      <c r="G378" s="491">
        <v>0</v>
      </c>
      <c r="H378" s="464">
        <f t="shared" si="31"/>
        <v>53498</v>
      </c>
      <c r="I378" s="464">
        <v>0</v>
      </c>
      <c r="J378" s="464">
        <f t="shared" si="32"/>
        <v>53498</v>
      </c>
      <c r="K378" s="299"/>
      <c r="L378" s="179"/>
    </row>
    <row r="379" spans="1:12" s="180" customFormat="1" hidden="1" outlineLevel="2" x14ac:dyDescent="0.25">
      <c r="A379" s="245" t="s">
        <v>1093</v>
      </c>
      <c r="B379" s="175"/>
      <c r="C379" s="176" t="s">
        <v>426</v>
      </c>
      <c r="D379" s="177" t="s">
        <v>33</v>
      </c>
      <c r="E379" s="178">
        <f>681.72/1000</f>
        <v>0.68</v>
      </c>
      <c r="F379" s="464">
        <v>58900</v>
      </c>
      <c r="G379" s="491">
        <v>0</v>
      </c>
      <c r="H379" s="464">
        <f t="shared" si="31"/>
        <v>40052</v>
      </c>
      <c r="I379" s="464">
        <v>0</v>
      </c>
      <c r="J379" s="464">
        <f t="shared" si="32"/>
        <v>40052</v>
      </c>
      <c r="K379" s="299"/>
      <c r="L379" s="179"/>
    </row>
    <row r="380" spans="1:12" s="180" customFormat="1" hidden="1" outlineLevel="2" x14ac:dyDescent="0.25">
      <c r="A380" s="245" t="s">
        <v>1094</v>
      </c>
      <c r="B380" s="175"/>
      <c r="C380" s="176" t="s">
        <v>427</v>
      </c>
      <c r="D380" s="177" t="s">
        <v>33</v>
      </c>
      <c r="E380" s="178">
        <f>20537.28/1000</f>
        <v>20.54</v>
      </c>
      <c r="F380" s="464">
        <v>55350</v>
      </c>
      <c r="G380" s="491">
        <v>0</v>
      </c>
      <c r="H380" s="464">
        <f t="shared" si="31"/>
        <v>1136889</v>
      </c>
      <c r="I380" s="464">
        <v>0</v>
      </c>
      <c r="J380" s="464">
        <f t="shared" si="32"/>
        <v>1136889</v>
      </c>
      <c r="K380" s="299"/>
      <c r="L380" s="179"/>
    </row>
    <row r="381" spans="1:12" s="180" customFormat="1" hidden="1" outlineLevel="2" x14ac:dyDescent="0.25">
      <c r="A381" s="245" t="s">
        <v>1095</v>
      </c>
      <c r="B381" s="175"/>
      <c r="C381" s="533" t="s">
        <v>440</v>
      </c>
      <c r="D381" s="177" t="s">
        <v>33</v>
      </c>
      <c r="E381" s="178">
        <f>7852.11/1000</f>
        <v>7.85</v>
      </c>
      <c r="F381" s="464">
        <v>55350</v>
      </c>
      <c r="G381" s="491">
        <v>0</v>
      </c>
      <c r="H381" s="464">
        <f t="shared" si="31"/>
        <v>434497.5</v>
      </c>
      <c r="I381" s="464">
        <v>0</v>
      </c>
      <c r="J381" s="464">
        <f t="shared" si="32"/>
        <v>434497.5</v>
      </c>
      <c r="K381" s="299"/>
      <c r="L381" s="179"/>
    </row>
    <row r="382" spans="1:12" s="180" customFormat="1" hidden="1" outlineLevel="2" x14ac:dyDescent="0.25">
      <c r="A382" s="245" t="s">
        <v>1096</v>
      </c>
      <c r="B382" s="175"/>
      <c r="C382" s="176" t="s">
        <v>428</v>
      </c>
      <c r="D382" s="177" t="s">
        <v>33</v>
      </c>
      <c r="E382" s="178">
        <f>4826.88/1000</f>
        <v>4.83</v>
      </c>
      <c r="F382" s="464">
        <v>55350</v>
      </c>
      <c r="G382" s="491">
        <v>0</v>
      </c>
      <c r="H382" s="464">
        <f t="shared" si="31"/>
        <v>267340.5</v>
      </c>
      <c r="I382" s="464">
        <v>0</v>
      </c>
      <c r="J382" s="464">
        <f t="shared" si="32"/>
        <v>267340.5</v>
      </c>
      <c r="K382" s="299"/>
      <c r="L382" s="179"/>
    </row>
    <row r="383" spans="1:12" s="180" customFormat="1" hidden="1" outlineLevel="2" x14ac:dyDescent="0.25">
      <c r="A383" s="245" t="s">
        <v>1097</v>
      </c>
      <c r="B383" s="175"/>
      <c r="C383" s="176" t="s">
        <v>429</v>
      </c>
      <c r="D383" s="177" t="s">
        <v>33</v>
      </c>
      <c r="E383" s="178">
        <f>1892.34/1000</f>
        <v>1.89</v>
      </c>
      <c r="F383" s="464">
        <v>55350</v>
      </c>
      <c r="G383" s="491">
        <v>0</v>
      </c>
      <c r="H383" s="464">
        <f t="shared" si="31"/>
        <v>104611.5</v>
      </c>
      <c r="I383" s="464">
        <v>0</v>
      </c>
      <c r="J383" s="464">
        <f t="shared" si="32"/>
        <v>104611.5</v>
      </c>
      <c r="K383" s="299"/>
      <c r="L383" s="179"/>
    </row>
    <row r="384" spans="1:12" s="180" customFormat="1" ht="25.5" hidden="1" outlineLevel="1" x14ac:dyDescent="0.25">
      <c r="A384" s="245" t="s">
        <v>1098</v>
      </c>
      <c r="B384" s="567"/>
      <c r="C384" s="337" t="s">
        <v>694</v>
      </c>
      <c r="D384" s="342" t="s">
        <v>0</v>
      </c>
      <c r="E384" s="306">
        <f>SUM(E385:E387)</f>
        <v>215</v>
      </c>
      <c r="F384" s="464"/>
      <c r="G384" s="491">
        <v>5600</v>
      </c>
      <c r="H384" s="464">
        <f t="shared" si="31"/>
        <v>0</v>
      </c>
      <c r="I384" s="464">
        <f t="shared" ref="I384:I389" si="33">G384*E384</f>
        <v>1204000</v>
      </c>
      <c r="J384" s="464">
        <f t="shared" si="32"/>
        <v>1204000</v>
      </c>
      <c r="K384" s="299"/>
      <c r="L384" s="179"/>
    </row>
    <row r="385" spans="1:33" s="180" customFormat="1" hidden="1" outlineLevel="2" x14ac:dyDescent="0.25">
      <c r="A385" s="245" t="s">
        <v>1099</v>
      </c>
      <c r="B385" s="175"/>
      <c r="C385" s="176" t="s">
        <v>470</v>
      </c>
      <c r="D385" s="185" t="s">
        <v>0</v>
      </c>
      <c r="E385" s="181">
        <v>194</v>
      </c>
      <c r="F385" s="464">
        <v>7340</v>
      </c>
      <c r="G385" s="491">
        <v>0</v>
      </c>
      <c r="H385" s="464">
        <f t="shared" si="31"/>
        <v>1423960</v>
      </c>
      <c r="I385" s="464">
        <f t="shared" si="33"/>
        <v>0</v>
      </c>
      <c r="J385" s="464">
        <f t="shared" si="32"/>
        <v>1423960</v>
      </c>
      <c r="K385" s="299"/>
      <c r="L385" s="179"/>
    </row>
    <row r="386" spans="1:33" s="180" customFormat="1" hidden="1" outlineLevel="2" x14ac:dyDescent="0.25">
      <c r="A386" s="245" t="s">
        <v>1100</v>
      </c>
      <c r="B386" s="175"/>
      <c r="C386" s="176" t="s">
        <v>471</v>
      </c>
      <c r="D386" s="185" t="s">
        <v>0</v>
      </c>
      <c r="E386" s="181">
        <v>1</v>
      </c>
      <c r="F386" s="464">
        <v>7340</v>
      </c>
      <c r="G386" s="491">
        <v>0</v>
      </c>
      <c r="H386" s="464">
        <f t="shared" si="31"/>
        <v>7340</v>
      </c>
      <c r="I386" s="464">
        <f t="shared" si="33"/>
        <v>0</v>
      </c>
      <c r="J386" s="464">
        <f t="shared" si="32"/>
        <v>7340</v>
      </c>
      <c r="K386" s="299"/>
      <c r="L386" s="179"/>
    </row>
    <row r="387" spans="1:33" s="180" customFormat="1" hidden="1" outlineLevel="2" x14ac:dyDescent="0.25">
      <c r="A387" s="245" t="s">
        <v>1101</v>
      </c>
      <c r="B387" s="175"/>
      <c r="C387" s="176" t="s">
        <v>470</v>
      </c>
      <c r="D387" s="185" t="s">
        <v>0</v>
      </c>
      <c r="E387" s="181">
        <v>20</v>
      </c>
      <c r="F387" s="464">
        <v>7340</v>
      </c>
      <c r="G387" s="491">
        <v>0</v>
      </c>
      <c r="H387" s="464">
        <f t="shared" si="31"/>
        <v>146800</v>
      </c>
      <c r="I387" s="464">
        <f t="shared" si="33"/>
        <v>0</v>
      </c>
      <c r="J387" s="464">
        <f t="shared" si="32"/>
        <v>146800</v>
      </c>
      <c r="K387" s="299"/>
      <c r="L387" s="179"/>
    </row>
    <row r="388" spans="1:33" s="320" customFormat="1" ht="15" hidden="1" outlineLevel="1" collapsed="1" x14ac:dyDescent="0.25">
      <c r="A388" s="245" t="s">
        <v>1102</v>
      </c>
      <c r="B388" s="384" t="s">
        <v>713</v>
      </c>
      <c r="C388" s="372" t="s">
        <v>472</v>
      </c>
      <c r="D388" s="372"/>
      <c r="E388" s="372"/>
      <c r="F388" s="477"/>
      <c r="G388" s="509"/>
      <c r="H388" s="477"/>
      <c r="I388" s="477">
        <f t="shared" si="33"/>
        <v>0</v>
      </c>
      <c r="J388" s="477">
        <f t="shared" si="32"/>
        <v>0</v>
      </c>
      <c r="K388" s="295"/>
      <c r="L388" s="319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  <c r="AA388" s="358"/>
      <c r="AB388" s="358"/>
      <c r="AC388" s="358"/>
      <c r="AD388" s="358"/>
      <c r="AE388" s="358"/>
      <c r="AF388" s="358"/>
      <c r="AG388" s="358"/>
    </row>
    <row r="389" spans="1:33" s="358" customFormat="1" ht="15" hidden="1" outlineLevel="1" x14ac:dyDescent="0.25">
      <c r="A389" s="245" t="s">
        <v>1103</v>
      </c>
      <c r="B389" s="567"/>
      <c r="C389" s="529" t="s">
        <v>473</v>
      </c>
      <c r="D389" s="342" t="s">
        <v>33</v>
      </c>
      <c r="E389" s="306">
        <f>SUM(E390:E395)</f>
        <v>19.399999999999999</v>
      </c>
      <c r="F389" s="461"/>
      <c r="G389" s="491">
        <v>26900</v>
      </c>
      <c r="H389" s="464">
        <f t="shared" ref="H389:H407" si="34">F389*E389</f>
        <v>0</v>
      </c>
      <c r="I389" s="464">
        <f t="shared" si="33"/>
        <v>521860</v>
      </c>
      <c r="J389" s="464">
        <f t="shared" si="32"/>
        <v>521860</v>
      </c>
      <c r="K389" s="297"/>
      <c r="L389" s="362"/>
    </row>
    <row r="390" spans="1:33" s="358" customFormat="1" ht="15" hidden="1" outlineLevel="2" x14ac:dyDescent="0.25">
      <c r="A390" s="245" t="s">
        <v>1104</v>
      </c>
      <c r="B390" s="517"/>
      <c r="C390" s="533" t="s">
        <v>450</v>
      </c>
      <c r="D390" s="551" t="s">
        <v>33</v>
      </c>
      <c r="E390" s="546">
        <f>246.28/1000</f>
        <v>0.25</v>
      </c>
      <c r="F390" s="464">
        <v>58950</v>
      </c>
      <c r="G390" s="491">
        <v>0</v>
      </c>
      <c r="H390" s="464">
        <f t="shared" si="34"/>
        <v>14737.5</v>
      </c>
      <c r="I390" s="464">
        <v>0</v>
      </c>
      <c r="J390" s="464">
        <f t="shared" si="32"/>
        <v>14737.5</v>
      </c>
      <c r="K390" s="299"/>
      <c r="L390" s="362"/>
    </row>
    <row r="391" spans="1:33" s="358" customFormat="1" ht="15" hidden="1" outlineLevel="2" x14ac:dyDescent="0.25">
      <c r="A391" s="245" t="s">
        <v>1105</v>
      </c>
      <c r="B391" s="517"/>
      <c r="C391" s="533" t="s">
        <v>401</v>
      </c>
      <c r="D391" s="551" t="s">
        <v>33</v>
      </c>
      <c r="E391" s="546">
        <f>2494.54/1000</f>
        <v>2.4900000000000002</v>
      </c>
      <c r="F391" s="464">
        <v>58150</v>
      </c>
      <c r="G391" s="491">
        <v>0</v>
      </c>
      <c r="H391" s="464">
        <f t="shared" si="34"/>
        <v>144793.5</v>
      </c>
      <c r="I391" s="464">
        <v>0</v>
      </c>
      <c r="J391" s="464">
        <f t="shared" si="32"/>
        <v>144793.5</v>
      </c>
      <c r="K391" s="299"/>
      <c r="L391" s="362"/>
    </row>
    <row r="392" spans="1:33" s="358" customFormat="1" ht="15" hidden="1" outlineLevel="2" x14ac:dyDescent="0.25">
      <c r="A392" s="245" t="s">
        <v>1106</v>
      </c>
      <c r="B392" s="517"/>
      <c r="C392" s="533" t="s">
        <v>428</v>
      </c>
      <c r="D392" s="551" t="s">
        <v>33</v>
      </c>
      <c r="E392" s="546">
        <f>276/1000</f>
        <v>0.28000000000000003</v>
      </c>
      <c r="F392" s="464">
        <v>55350</v>
      </c>
      <c r="G392" s="491">
        <v>0</v>
      </c>
      <c r="H392" s="464">
        <f t="shared" si="34"/>
        <v>15498</v>
      </c>
      <c r="I392" s="464">
        <v>0</v>
      </c>
      <c r="J392" s="464">
        <f t="shared" si="32"/>
        <v>15498</v>
      </c>
      <c r="K392" s="299"/>
      <c r="L392" s="362"/>
    </row>
    <row r="393" spans="1:33" s="358" customFormat="1" ht="15" hidden="1" outlineLevel="2" x14ac:dyDescent="0.25">
      <c r="A393" s="245" t="s">
        <v>1107</v>
      </c>
      <c r="B393" s="517"/>
      <c r="C393" s="533" t="s">
        <v>429</v>
      </c>
      <c r="D393" s="551" t="s">
        <v>33</v>
      </c>
      <c r="E393" s="546">
        <f>11767.72/1000</f>
        <v>11.77</v>
      </c>
      <c r="F393" s="464">
        <v>55350</v>
      </c>
      <c r="G393" s="491">
        <v>0</v>
      </c>
      <c r="H393" s="464">
        <f t="shared" si="34"/>
        <v>651469.5</v>
      </c>
      <c r="I393" s="464">
        <v>0</v>
      </c>
      <c r="J393" s="464">
        <f t="shared" si="32"/>
        <v>651469.5</v>
      </c>
      <c r="K393" s="299"/>
      <c r="L393" s="362"/>
    </row>
    <row r="394" spans="1:33" s="358" customFormat="1" ht="15" hidden="1" outlineLevel="2" x14ac:dyDescent="0.25">
      <c r="A394" s="245" t="s">
        <v>1108</v>
      </c>
      <c r="B394" s="517"/>
      <c r="C394" s="534" t="s">
        <v>430</v>
      </c>
      <c r="D394" s="551" t="s">
        <v>33</v>
      </c>
      <c r="E394" s="546">
        <f>1620.64/1000</f>
        <v>1.62</v>
      </c>
      <c r="F394" s="464">
        <v>55350</v>
      </c>
      <c r="G394" s="491">
        <v>0</v>
      </c>
      <c r="H394" s="464">
        <f t="shared" si="34"/>
        <v>89667</v>
      </c>
      <c r="I394" s="464">
        <v>0</v>
      </c>
      <c r="J394" s="464">
        <f t="shared" si="32"/>
        <v>89667</v>
      </c>
      <c r="K394" s="299"/>
      <c r="L394" s="362"/>
    </row>
    <row r="395" spans="1:33" s="358" customFormat="1" ht="15" hidden="1" outlineLevel="2" x14ac:dyDescent="0.25">
      <c r="A395" s="245" t="s">
        <v>1109</v>
      </c>
      <c r="B395" s="517"/>
      <c r="C395" s="533" t="s">
        <v>431</v>
      </c>
      <c r="D395" s="551" t="s">
        <v>33</v>
      </c>
      <c r="E395" s="546">
        <f>2992/1000</f>
        <v>2.99</v>
      </c>
      <c r="F395" s="464">
        <v>55900</v>
      </c>
      <c r="G395" s="491">
        <v>0</v>
      </c>
      <c r="H395" s="464">
        <f t="shared" si="34"/>
        <v>167141</v>
      </c>
      <c r="I395" s="464">
        <v>0</v>
      </c>
      <c r="J395" s="464">
        <f t="shared" si="32"/>
        <v>167141</v>
      </c>
      <c r="K395" s="299"/>
      <c r="L395" s="362"/>
    </row>
    <row r="396" spans="1:33" s="358" customFormat="1" ht="15" hidden="1" outlineLevel="1" x14ac:dyDescent="0.25">
      <c r="A396" s="245" t="s">
        <v>1110</v>
      </c>
      <c r="B396" s="567"/>
      <c r="C396" s="543" t="s">
        <v>696</v>
      </c>
      <c r="D396" s="544" t="s">
        <v>0</v>
      </c>
      <c r="E396" s="544">
        <f>E397</f>
        <v>56.97</v>
      </c>
      <c r="F396" s="464"/>
      <c r="G396" s="491">
        <v>8900</v>
      </c>
      <c r="H396" s="464">
        <f t="shared" si="34"/>
        <v>0</v>
      </c>
      <c r="I396" s="464">
        <f>G396*E396</f>
        <v>507033</v>
      </c>
      <c r="J396" s="464">
        <f t="shared" si="32"/>
        <v>507033</v>
      </c>
      <c r="K396" s="297"/>
      <c r="L396" s="362"/>
    </row>
    <row r="397" spans="1:33" s="358" customFormat="1" ht="15" hidden="1" outlineLevel="2" x14ac:dyDescent="0.25">
      <c r="A397" s="245" t="s">
        <v>1111</v>
      </c>
      <c r="B397" s="517"/>
      <c r="C397" s="550" t="s">
        <v>414</v>
      </c>
      <c r="D397" s="363" t="s">
        <v>0</v>
      </c>
      <c r="E397" s="363">
        <f>0.5*2+0.5*7+0.6*12+0.8*9+0.8*4+0.8*1+0.8*9+0.85*1+0.8*11+0.4*2+0.4*3+0.6*3+0.6*7+0.5*2+0.46*2+0.5*2+0.5*4+0.5*2+0.5*3+0.5*2+0.8*1</f>
        <v>56.97</v>
      </c>
      <c r="F397" s="464">
        <v>7475</v>
      </c>
      <c r="G397" s="491">
        <v>0</v>
      </c>
      <c r="H397" s="464">
        <f t="shared" si="34"/>
        <v>425850.75</v>
      </c>
      <c r="I397" s="464">
        <v>0</v>
      </c>
      <c r="J397" s="464">
        <f t="shared" si="32"/>
        <v>425850.75</v>
      </c>
      <c r="K397" s="299"/>
      <c r="L397" s="362"/>
    </row>
    <row r="398" spans="1:33" s="358" customFormat="1" ht="15" hidden="1" outlineLevel="1" x14ac:dyDescent="0.25">
      <c r="A398" s="245" t="s">
        <v>1112</v>
      </c>
      <c r="B398" s="567"/>
      <c r="C398" s="543" t="s">
        <v>475</v>
      </c>
      <c r="D398" s="544" t="s">
        <v>33</v>
      </c>
      <c r="E398" s="548">
        <f>SUM(E399:E404)</f>
        <v>43.84</v>
      </c>
      <c r="F398" s="464"/>
      <c r="G398" s="491">
        <v>26900</v>
      </c>
      <c r="H398" s="464">
        <f t="shared" si="34"/>
        <v>0</v>
      </c>
      <c r="I398" s="464">
        <f>G398*E398</f>
        <v>1179296</v>
      </c>
      <c r="J398" s="464">
        <f t="shared" si="32"/>
        <v>1179296</v>
      </c>
      <c r="K398" s="297"/>
      <c r="L398" s="362"/>
    </row>
    <row r="399" spans="1:33" s="358" customFormat="1" ht="15" hidden="1" outlineLevel="2" x14ac:dyDescent="0.25">
      <c r="A399" s="245" t="s">
        <v>1113</v>
      </c>
      <c r="B399" s="517"/>
      <c r="C399" s="533" t="s">
        <v>399</v>
      </c>
      <c r="D399" s="363" t="s">
        <v>33</v>
      </c>
      <c r="E399" s="539">
        <f>(131.8+236+31+33.8)/1000</f>
        <v>0.43</v>
      </c>
      <c r="F399" s="464">
        <v>58490</v>
      </c>
      <c r="G399" s="491">
        <v>0</v>
      </c>
      <c r="H399" s="464">
        <f t="shared" si="34"/>
        <v>25150.7</v>
      </c>
      <c r="I399" s="464">
        <v>0</v>
      </c>
      <c r="J399" s="464">
        <f t="shared" si="32"/>
        <v>25150.7</v>
      </c>
      <c r="K399" s="299"/>
      <c r="L399" s="362"/>
    </row>
    <row r="400" spans="1:33" s="358" customFormat="1" ht="15" hidden="1" outlineLevel="2" x14ac:dyDescent="0.25">
      <c r="A400" s="245" t="s">
        <v>1114</v>
      </c>
      <c r="B400" s="517"/>
      <c r="C400" s="533" t="s">
        <v>426</v>
      </c>
      <c r="D400" s="363" t="s">
        <v>33</v>
      </c>
      <c r="E400" s="539">
        <f>(3322.1+10007.7+1005+861.1)/1000</f>
        <v>15.2</v>
      </c>
      <c r="F400" s="464">
        <v>58900</v>
      </c>
      <c r="G400" s="491">
        <v>0</v>
      </c>
      <c r="H400" s="464">
        <f t="shared" si="34"/>
        <v>895280</v>
      </c>
      <c r="I400" s="464">
        <v>0</v>
      </c>
      <c r="J400" s="464">
        <f t="shared" si="32"/>
        <v>895280</v>
      </c>
      <c r="K400" s="299"/>
      <c r="L400" s="362"/>
    </row>
    <row r="401" spans="1:33" s="358" customFormat="1" ht="15" hidden="1" outlineLevel="2" x14ac:dyDescent="0.25">
      <c r="A401" s="245" t="s">
        <v>1115</v>
      </c>
      <c r="B401" s="517"/>
      <c r="C401" s="533" t="s">
        <v>427</v>
      </c>
      <c r="D401" s="363" t="s">
        <v>33</v>
      </c>
      <c r="E401" s="539">
        <f>562/1000</f>
        <v>0.56000000000000005</v>
      </c>
      <c r="F401" s="464">
        <v>55350</v>
      </c>
      <c r="G401" s="491">
        <v>0</v>
      </c>
      <c r="H401" s="464">
        <f t="shared" si="34"/>
        <v>30996</v>
      </c>
      <c r="I401" s="464">
        <v>0</v>
      </c>
      <c r="J401" s="464">
        <f t="shared" si="32"/>
        <v>30996</v>
      </c>
      <c r="K401" s="299"/>
      <c r="L401" s="362"/>
    </row>
    <row r="402" spans="1:33" s="358" customFormat="1" ht="15" hidden="1" outlineLevel="2" x14ac:dyDescent="0.25">
      <c r="A402" s="245" t="s">
        <v>1116</v>
      </c>
      <c r="B402" s="517"/>
      <c r="C402" s="533" t="s">
        <v>440</v>
      </c>
      <c r="D402" s="363" t="s">
        <v>33</v>
      </c>
      <c r="E402" s="539">
        <f>(7419.8+15165.6+2436+2390.9)/1000</f>
        <v>27.41</v>
      </c>
      <c r="F402" s="464">
        <v>55350</v>
      </c>
      <c r="G402" s="491">
        <v>0</v>
      </c>
      <c r="H402" s="464">
        <f t="shared" si="34"/>
        <v>1517143.5</v>
      </c>
      <c r="I402" s="464">
        <v>0</v>
      </c>
      <c r="J402" s="464">
        <f t="shared" si="32"/>
        <v>1517143.5</v>
      </c>
      <c r="K402" s="299"/>
      <c r="L402" s="362"/>
    </row>
    <row r="403" spans="1:33" s="358" customFormat="1" ht="15" hidden="1" outlineLevel="2" x14ac:dyDescent="0.25">
      <c r="A403" s="245" t="s">
        <v>1117</v>
      </c>
      <c r="B403" s="517"/>
      <c r="C403" s="533" t="s">
        <v>405</v>
      </c>
      <c r="D403" s="363" t="s">
        <v>33</v>
      </c>
      <c r="E403" s="539">
        <f>75/1000</f>
        <v>0.08</v>
      </c>
      <c r="F403" s="464">
        <v>55350</v>
      </c>
      <c r="G403" s="491">
        <v>0</v>
      </c>
      <c r="H403" s="464">
        <f t="shared" si="34"/>
        <v>4428</v>
      </c>
      <c r="I403" s="464">
        <v>0</v>
      </c>
      <c r="J403" s="464">
        <f t="shared" si="32"/>
        <v>4428</v>
      </c>
      <c r="K403" s="299"/>
      <c r="L403" s="362"/>
    </row>
    <row r="404" spans="1:33" s="358" customFormat="1" ht="15" hidden="1" outlineLevel="2" x14ac:dyDescent="0.25">
      <c r="A404" s="245" t="s">
        <v>1118</v>
      </c>
      <c r="B404" s="517"/>
      <c r="C404" s="176" t="s">
        <v>429</v>
      </c>
      <c r="D404" s="363" t="s">
        <v>33</v>
      </c>
      <c r="E404" s="539">
        <f>162.7/1000</f>
        <v>0.16</v>
      </c>
      <c r="F404" s="464">
        <v>55350</v>
      </c>
      <c r="G404" s="491">
        <v>0</v>
      </c>
      <c r="H404" s="464">
        <f t="shared" si="34"/>
        <v>8856</v>
      </c>
      <c r="I404" s="464">
        <v>0</v>
      </c>
      <c r="J404" s="464">
        <f t="shared" si="32"/>
        <v>8856</v>
      </c>
      <c r="K404" s="180"/>
      <c r="L404" s="362"/>
    </row>
    <row r="405" spans="1:33" s="358" customFormat="1" ht="15" hidden="1" outlineLevel="2" x14ac:dyDescent="0.25">
      <c r="A405" s="245" t="s">
        <v>1119</v>
      </c>
      <c r="B405" s="519"/>
      <c r="C405" s="191" t="s">
        <v>410</v>
      </c>
      <c r="D405" s="551" t="s">
        <v>33</v>
      </c>
      <c r="E405" s="546">
        <f>(8+9.45)/1000</f>
        <v>0.02</v>
      </c>
      <c r="F405" s="464">
        <v>80300</v>
      </c>
      <c r="G405" s="491">
        <v>0</v>
      </c>
      <c r="H405" s="464">
        <f t="shared" si="34"/>
        <v>1606</v>
      </c>
      <c r="I405" s="464">
        <v>0</v>
      </c>
      <c r="J405" s="464">
        <f t="shared" si="32"/>
        <v>1606</v>
      </c>
      <c r="K405" s="299"/>
      <c r="L405" s="362"/>
    </row>
    <row r="406" spans="1:33" s="358" customFormat="1" ht="15" hidden="1" outlineLevel="1" x14ac:dyDescent="0.25">
      <c r="A406" s="245" t="s">
        <v>1120</v>
      </c>
      <c r="B406" s="567"/>
      <c r="C406" s="573" t="s">
        <v>695</v>
      </c>
      <c r="D406" s="544" t="s">
        <v>0</v>
      </c>
      <c r="E406" s="544">
        <f>E407</f>
        <v>312.05</v>
      </c>
      <c r="F406" s="464"/>
      <c r="G406" s="491">
        <v>5600</v>
      </c>
      <c r="H406" s="464">
        <f t="shared" si="34"/>
        <v>0</v>
      </c>
      <c r="I406" s="464">
        <f>G406*E406</f>
        <v>1747480</v>
      </c>
      <c r="J406" s="464">
        <f t="shared" si="32"/>
        <v>1747480</v>
      </c>
      <c r="K406" s="297"/>
      <c r="L406" s="362"/>
    </row>
    <row r="407" spans="1:33" s="358" customFormat="1" ht="15" hidden="1" outlineLevel="2" x14ac:dyDescent="0.25">
      <c r="A407" s="245" t="s">
        <v>1121</v>
      </c>
      <c r="B407" s="517"/>
      <c r="C407" s="367" t="s">
        <v>477</v>
      </c>
      <c r="D407" s="363" t="s">
        <v>0</v>
      </c>
      <c r="E407" s="363">
        <f>25.4+23.91+164+98.74</f>
        <v>312.05</v>
      </c>
      <c r="F407" s="464">
        <v>7475</v>
      </c>
      <c r="G407" s="491">
        <v>0</v>
      </c>
      <c r="H407" s="464">
        <f t="shared" si="34"/>
        <v>2332573.75</v>
      </c>
      <c r="I407" s="464">
        <v>0</v>
      </c>
      <c r="J407" s="464">
        <f t="shared" si="32"/>
        <v>2332573.75</v>
      </c>
      <c r="K407" s="299"/>
      <c r="L407" s="362"/>
    </row>
    <row r="408" spans="1:33" s="320" customFormat="1" ht="15" hidden="1" outlineLevel="1" x14ac:dyDescent="0.25">
      <c r="A408" s="245" t="s">
        <v>1122</v>
      </c>
      <c r="B408" s="412"/>
      <c r="C408" s="372" t="s">
        <v>478</v>
      </c>
      <c r="D408" s="372"/>
      <c r="E408" s="372"/>
      <c r="F408" s="477"/>
      <c r="G408" s="509"/>
      <c r="H408" s="477"/>
      <c r="I408" s="477">
        <f>G408*E408</f>
        <v>0</v>
      </c>
      <c r="J408" s="477">
        <f t="shared" si="32"/>
        <v>0</v>
      </c>
      <c r="K408" s="295"/>
      <c r="L408" s="319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  <c r="AA408" s="358"/>
      <c r="AB408" s="358"/>
      <c r="AC408" s="358"/>
      <c r="AD408" s="358"/>
      <c r="AE408" s="358"/>
      <c r="AF408" s="358"/>
      <c r="AG408" s="358"/>
    </row>
    <row r="409" spans="1:33" s="320" customFormat="1" ht="20.25" hidden="1" customHeight="1" outlineLevel="1" x14ac:dyDescent="0.25">
      <c r="A409" s="245" t="s">
        <v>1123</v>
      </c>
      <c r="B409" s="412"/>
      <c r="C409" s="372" t="s">
        <v>479</v>
      </c>
      <c r="D409" s="383"/>
      <c r="E409" s="383"/>
      <c r="F409" s="477"/>
      <c r="G409" s="509"/>
      <c r="H409" s="477"/>
      <c r="I409" s="477">
        <f>G409*E409</f>
        <v>0</v>
      </c>
      <c r="J409" s="477">
        <f t="shared" si="32"/>
        <v>0</v>
      </c>
      <c r="K409" s="301"/>
      <c r="L409" s="319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  <c r="AA409" s="358"/>
      <c r="AB409" s="358"/>
      <c r="AC409" s="358"/>
      <c r="AD409" s="358"/>
      <c r="AE409" s="358"/>
      <c r="AF409" s="358"/>
      <c r="AG409" s="358"/>
    </row>
    <row r="410" spans="1:33" s="358" customFormat="1" ht="15" hidden="1" outlineLevel="1" x14ac:dyDescent="0.25">
      <c r="A410" s="245" t="s">
        <v>1124</v>
      </c>
      <c r="B410" s="567"/>
      <c r="C410" s="337" t="s">
        <v>688</v>
      </c>
      <c r="D410" s="544" t="s">
        <v>0</v>
      </c>
      <c r="E410" s="544">
        <f>E411</f>
        <v>180</v>
      </c>
      <c r="F410" s="464"/>
      <c r="G410" s="491">
        <v>1900</v>
      </c>
      <c r="H410" s="464">
        <f t="shared" ref="H410:H441" si="35">F410*E410</f>
        <v>0</v>
      </c>
      <c r="I410" s="464">
        <f>G410*E410</f>
        <v>342000</v>
      </c>
      <c r="J410" s="464">
        <f t="shared" si="32"/>
        <v>342000</v>
      </c>
      <c r="K410" s="297"/>
      <c r="L410" s="362"/>
    </row>
    <row r="411" spans="1:33" s="358" customFormat="1" ht="15" hidden="1" outlineLevel="2" x14ac:dyDescent="0.25">
      <c r="A411" s="245" t="s">
        <v>1125</v>
      </c>
      <c r="B411" s="360"/>
      <c r="C411" s="361" t="s">
        <v>689</v>
      </c>
      <c r="D411" s="363" t="s">
        <v>0</v>
      </c>
      <c r="E411" s="517">
        <v>180</v>
      </c>
      <c r="F411" s="464">
        <v>350</v>
      </c>
      <c r="G411" s="491">
        <v>0</v>
      </c>
      <c r="H411" s="464">
        <f t="shared" si="35"/>
        <v>63000</v>
      </c>
      <c r="I411" s="464">
        <f>G411*E411</f>
        <v>0</v>
      </c>
      <c r="J411" s="464">
        <f t="shared" si="32"/>
        <v>63000</v>
      </c>
      <c r="K411" s="299"/>
      <c r="L411" s="362"/>
    </row>
    <row r="412" spans="1:33" s="358" customFormat="1" ht="15" hidden="1" outlineLevel="1" x14ac:dyDescent="0.25">
      <c r="A412" s="245" t="s">
        <v>1126</v>
      </c>
      <c r="B412" s="567"/>
      <c r="C412" s="543" t="s">
        <v>483</v>
      </c>
      <c r="D412" s="544" t="s">
        <v>89</v>
      </c>
      <c r="E412" s="544">
        <f>E413</f>
        <v>101</v>
      </c>
      <c r="F412" s="464"/>
      <c r="G412" s="491">
        <v>405</v>
      </c>
      <c r="H412" s="464">
        <f t="shared" si="35"/>
        <v>0</v>
      </c>
      <c r="I412" s="464">
        <f>G412*E412</f>
        <v>40905</v>
      </c>
      <c r="J412" s="464">
        <f t="shared" si="32"/>
        <v>40905</v>
      </c>
      <c r="K412" s="297"/>
      <c r="L412" s="362"/>
    </row>
    <row r="413" spans="1:33" s="358" customFormat="1" ht="15" hidden="1" outlineLevel="2" x14ac:dyDescent="0.25">
      <c r="A413" s="245" t="s">
        <v>1127</v>
      </c>
      <c r="B413" s="567"/>
      <c r="C413" s="367" t="s">
        <v>699</v>
      </c>
      <c r="D413" s="363" t="s">
        <v>89</v>
      </c>
      <c r="E413" s="363">
        <v>101</v>
      </c>
      <c r="F413" s="464">
        <v>168.98</v>
      </c>
      <c r="G413" s="491">
        <v>0</v>
      </c>
      <c r="H413" s="464">
        <f t="shared" si="35"/>
        <v>17066.98</v>
      </c>
      <c r="I413" s="464">
        <v>0</v>
      </c>
      <c r="J413" s="464">
        <f t="shared" si="32"/>
        <v>17066.98</v>
      </c>
      <c r="K413" s="299" t="s">
        <v>700</v>
      </c>
      <c r="L413" s="362"/>
    </row>
    <row r="414" spans="1:33" s="358" customFormat="1" ht="15" hidden="1" outlineLevel="2" x14ac:dyDescent="0.25">
      <c r="A414" s="245" t="s">
        <v>1128</v>
      </c>
      <c r="B414" s="360"/>
      <c r="C414" s="367" t="s">
        <v>395</v>
      </c>
      <c r="D414" s="363" t="s">
        <v>0</v>
      </c>
      <c r="E414" s="363">
        <v>0.08</v>
      </c>
      <c r="F414" s="464">
        <v>15099</v>
      </c>
      <c r="G414" s="491">
        <v>0</v>
      </c>
      <c r="H414" s="464">
        <f t="shared" si="35"/>
        <v>1207.92</v>
      </c>
      <c r="I414" s="464">
        <v>0</v>
      </c>
      <c r="J414" s="464">
        <f t="shared" si="32"/>
        <v>1207.92</v>
      </c>
      <c r="K414" s="299" t="s">
        <v>698</v>
      </c>
      <c r="L414" s="362"/>
    </row>
    <row r="415" spans="1:33" s="358" customFormat="1" ht="15" hidden="1" outlineLevel="2" x14ac:dyDescent="0.25">
      <c r="A415" s="245" t="s">
        <v>1129</v>
      </c>
      <c r="B415" s="360"/>
      <c r="C415" s="367" t="s">
        <v>393</v>
      </c>
      <c r="D415" s="363" t="s">
        <v>390</v>
      </c>
      <c r="E415" s="363">
        <v>7.9</v>
      </c>
      <c r="F415" s="464">
        <v>23</v>
      </c>
      <c r="G415" s="491">
        <v>0</v>
      </c>
      <c r="H415" s="464">
        <f t="shared" si="35"/>
        <v>181.7</v>
      </c>
      <c r="I415" s="464">
        <v>0</v>
      </c>
      <c r="J415" s="464">
        <f t="shared" si="32"/>
        <v>181.7</v>
      </c>
      <c r="K415" s="299" t="s">
        <v>697</v>
      </c>
      <c r="L415" s="362"/>
    </row>
    <row r="416" spans="1:33" s="358" customFormat="1" ht="15" hidden="1" outlineLevel="2" x14ac:dyDescent="0.25">
      <c r="A416" s="245" t="s">
        <v>1130</v>
      </c>
      <c r="B416" s="360"/>
      <c r="C416" s="367" t="s">
        <v>485</v>
      </c>
      <c r="D416" s="469" t="s">
        <v>92</v>
      </c>
      <c r="E416" s="363">
        <v>0.01</v>
      </c>
      <c r="F416" s="464">
        <v>450</v>
      </c>
      <c r="G416" s="491">
        <v>0</v>
      </c>
      <c r="H416" s="464">
        <f t="shared" si="35"/>
        <v>4.5</v>
      </c>
      <c r="I416" s="464">
        <v>0</v>
      </c>
      <c r="J416" s="464">
        <f t="shared" si="32"/>
        <v>4.5</v>
      </c>
      <c r="K416" s="299" t="s">
        <v>697</v>
      </c>
      <c r="L416" s="362"/>
    </row>
    <row r="417" spans="1:12" s="358" customFormat="1" ht="15" hidden="1" outlineLevel="1" x14ac:dyDescent="0.25">
      <c r="A417" s="245" t="s">
        <v>1131</v>
      </c>
      <c r="B417" s="567"/>
      <c r="C417" s="529" t="s">
        <v>486</v>
      </c>
      <c r="D417" s="342" t="s">
        <v>33</v>
      </c>
      <c r="E417" s="306">
        <f>SUM(E418:E422)</f>
        <v>7.92</v>
      </c>
      <c r="F417" s="461"/>
      <c r="G417" s="491">
        <v>26900</v>
      </c>
      <c r="H417" s="464">
        <f t="shared" si="35"/>
        <v>0</v>
      </c>
      <c r="I417" s="464">
        <f>G417*E417</f>
        <v>213048</v>
      </c>
      <c r="J417" s="464">
        <f t="shared" si="32"/>
        <v>213048</v>
      </c>
      <c r="K417" s="297"/>
      <c r="L417" s="362"/>
    </row>
    <row r="418" spans="1:12" s="358" customFormat="1" ht="15" hidden="1" outlineLevel="2" x14ac:dyDescent="0.25">
      <c r="A418" s="245" t="s">
        <v>1132</v>
      </c>
      <c r="B418" s="360"/>
      <c r="C418" s="533" t="s">
        <v>459</v>
      </c>
      <c r="D418" s="363" t="s">
        <v>33</v>
      </c>
      <c r="E418" s="539">
        <f>279/1000</f>
        <v>0.28000000000000003</v>
      </c>
      <c r="F418" s="464">
        <v>59450</v>
      </c>
      <c r="G418" s="491">
        <v>0</v>
      </c>
      <c r="H418" s="464">
        <f t="shared" si="35"/>
        <v>16646</v>
      </c>
      <c r="I418" s="464">
        <v>0</v>
      </c>
      <c r="J418" s="464">
        <f t="shared" si="32"/>
        <v>16646</v>
      </c>
      <c r="K418" s="299"/>
      <c r="L418" s="362"/>
    </row>
    <row r="419" spans="1:12" s="358" customFormat="1" ht="15" hidden="1" outlineLevel="2" x14ac:dyDescent="0.25">
      <c r="A419" s="245" t="s">
        <v>1133</v>
      </c>
      <c r="B419" s="360"/>
      <c r="C419" s="533" t="s">
        <v>488</v>
      </c>
      <c r="D419" s="363" t="s">
        <v>33</v>
      </c>
      <c r="E419" s="539">
        <f>1447.38/1000</f>
        <v>1.45</v>
      </c>
      <c r="F419" s="464">
        <v>59450</v>
      </c>
      <c r="G419" s="491">
        <v>0</v>
      </c>
      <c r="H419" s="464">
        <f t="shared" si="35"/>
        <v>86202.5</v>
      </c>
      <c r="I419" s="464">
        <v>0</v>
      </c>
      <c r="J419" s="464">
        <f t="shared" si="32"/>
        <v>86202.5</v>
      </c>
      <c r="K419" s="299"/>
      <c r="L419" s="362"/>
    </row>
    <row r="420" spans="1:12" s="358" customFormat="1" ht="15" hidden="1" outlineLevel="2" x14ac:dyDescent="0.25">
      <c r="A420" s="245" t="s">
        <v>1134</v>
      </c>
      <c r="B420" s="360"/>
      <c r="C420" s="533" t="s">
        <v>450</v>
      </c>
      <c r="D420" s="363" t="s">
        <v>33</v>
      </c>
      <c r="E420" s="539">
        <f>119/1000</f>
        <v>0.12</v>
      </c>
      <c r="F420" s="464">
        <v>58950</v>
      </c>
      <c r="G420" s="491">
        <v>0</v>
      </c>
      <c r="H420" s="464">
        <f t="shared" si="35"/>
        <v>7074</v>
      </c>
      <c r="I420" s="464">
        <v>0</v>
      </c>
      <c r="J420" s="464">
        <f t="shared" si="32"/>
        <v>7074</v>
      </c>
      <c r="K420" s="299"/>
      <c r="L420" s="362"/>
    </row>
    <row r="421" spans="1:12" s="358" customFormat="1" ht="15" hidden="1" outlineLevel="2" x14ac:dyDescent="0.25">
      <c r="A421" s="245" t="s">
        <v>1135</v>
      </c>
      <c r="B421" s="360"/>
      <c r="C421" s="533" t="s">
        <v>426</v>
      </c>
      <c r="D421" s="363" t="s">
        <v>33</v>
      </c>
      <c r="E421" s="539">
        <f>3157.39/1000</f>
        <v>3.16</v>
      </c>
      <c r="F421" s="464">
        <v>58900</v>
      </c>
      <c r="G421" s="491">
        <v>0</v>
      </c>
      <c r="H421" s="464">
        <f t="shared" si="35"/>
        <v>186124</v>
      </c>
      <c r="I421" s="464">
        <v>0</v>
      </c>
      <c r="J421" s="464">
        <f t="shared" si="32"/>
        <v>186124</v>
      </c>
      <c r="K421" s="299"/>
      <c r="L421" s="362"/>
    </row>
    <row r="422" spans="1:12" s="358" customFormat="1" ht="15" hidden="1" outlineLevel="2" x14ac:dyDescent="0.25">
      <c r="A422" s="245" t="s">
        <v>556</v>
      </c>
      <c r="B422" s="360"/>
      <c r="C422" s="533" t="s">
        <v>440</v>
      </c>
      <c r="D422" s="363" t="s">
        <v>33</v>
      </c>
      <c r="E422" s="539">
        <f>2912.16/1000</f>
        <v>2.91</v>
      </c>
      <c r="F422" s="464">
        <v>55350</v>
      </c>
      <c r="G422" s="491">
        <v>0</v>
      </c>
      <c r="H422" s="464">
        <f t="shared" si="35"/>
        <v>161068.5</v>
      </c>
      <c r="I422" s="464">
        <v>0</v>
      </c>
      <c r="J422" s="464">
        <f t="shared" si="32"/>
        <v>161068.5</v>
      </c>
      <c r="K422" s="299"/>
      <c r="L422" s="362"/>
    </row>
    <row r="423" spans="1:12" s="358" customFormat="1" ht="15" hidden="1" outlineLevel="1" x14ac:dyDescent="0.25">
      <c r="A423" s="245" t="s">
        <v>1136</v>
      </c>
      <c r="B423" s="567"/>
      <c r="C423" s="335" t="s">
        <v>489</v>
      </c>
      <c r="D423" s="544" t="s">
        <v>0</v>
      </c>
      <c r="E423" s="548">
        <v>54</v>
      </c>
      <c r="F423" s="464"/>
      <c r="G423" s="491">
        <v>8900</v>
      </c>
      <c r="H423" s="464">
        <f t="shared" si="35"/>
        <v>0</v>
      </c>
      <c r="I423" s="464">
        <f>G423*E423</f>
        <v>480600</v>
      </c>
      <c r="J423" s="464">
        <f t="shared" si="32"/>
        <v>480600</v>
      </c>
      <c r="K423" s="297"/>
      <c r="L423" s="362"/>
    </row>
    <row r="424" spans="1:12" s="358" customFormat="1" ht="15" hidden="1" outlineLevel="2" x14ac:dyDescent="0.25">
      <c r="A424" s="245" t="s">
        <v>1137</v>
      </c>
      <c r="B424" s="360"/>
      <c r="C424" s="367" t="s">
        <v>490</v>
      </c>
      <c r="D424" s="363" t="s">
        <v>0</v>
      </c>
      <c r="E424" s="546">
        <v>54</v>
      </c>
      <c r="F424" s="464">
        <v>7475</v>
      </c>
      <c r="G424" s="491">
        <v>0</v>
      </c>
      <c r="H424" s="464">
        <f t="shared" si="35"/>
        <v>403650</v>
      </c>
      <c r="I424" s="464">
        <v>0</v>
      </c>
      <c r="J424" s="464">
        <f t="shared" si="32"/>
        <v>403650</v>
      </c>
      <c r="K424" s="299"/>
      <c r="L424" s="362"/>
    </row>
    <row r="425" spans="1:12" s="358" customFormat="1" ht="15" hidden="1" outlineLevel="1" x14ac:dyDescent="0.25">
      <c r="A425" s="245" t="s">
        <v>1138</v>
      </c>
      <c r="B425" s="567"/>
      <c r="C425" s="335" t="s">
        <v>492</v>
      </c>
      <c r="D425" s="544" t="str">
        <f>D428</f>
        <v>пм</v>
      </c>
      <c r="E425" s="544">
        <f>E428</f>
        <v>36.299999999999997</v>
      </c>
      <c r="F425" s="464"/>
      <c r="G425" s="491">
        <v>1725</v>
      </c>
      <c r="H425" s="464">
        <f t="shared" si="35"/>
        <v>0</v>
      </c>
      <c r="I425" s="464">
        <f>G425*E425</f>
        <v>62617.5</v>
      </c>
      <c r="J425" s="464">
        <f t="shared" si="32"/>
        <v>62617.5</v>
      </c>
      <c r="K425" s="297"/>
      <c r="L425" s="362"/>
    </row>
    <row r="426" spans="1:12" s="358" customFormat="1" ht="15" hidden="1" outlineLevel="2" x14ac:dyDescent="0.25">
      <c r="A426" s="245" t="s">
        <v>1139</v>
      </c>
      <c r="B426" s="360"/>
      <c r="C426" s="367" t="s">
        <v>493</v>
      </c>
      <c r="D426" s="469" t="s">
        <v>92</v>
      </c>
      <c r="E426" s="546">
        <v>0.1</v>
      </c>
      <c r="F426" s="464">
        <v>445</v>
      </c>
      <c r="G426" s="491">
        <v>0</v>
      </c>
      <c r="H426" s="464">
        <f t="shared" si="35"/>
        <v>44.5</v>
      </c>
      <c r="I426" s="464">
        <v>0</v>
      </c>
      <c r="J426" s="464">
        <f t="shared" ref="J426:J488" si="36">H426+I426</f>
        <v>44.5</v>
      </c>
      <c r="K426" s="299" t="s">
        <v>494</v>
      </c>
      <c r="L426" s="362"/>
    </row>
    <row r="427" spans="1:12" s="358" customFormat="1" ht="15" hidden="1" outlineLevel="2" x14ac:dyDescent="0.25">
      <c r="A427" s="245" t="s">
        <v>1140</v>
      </c>
      <c r="B427" s="360"/>
      <c r="C427" s="367" t="s">
        <v>395</v>
      </c>
      <c r="D427" s="363" t="s">
        <v>0</v>
      </c>
      <c r="E427" s="546">
        <v>1.1000000000000001</v>
      </c>
      <c r="F427" s="464">
        <v>15099</v>
      </c>
      <c r="G427" s="491">
        <v>0</v>
      </c>
      <c r="H427" s="464">
        <f t="shared" si="35"/>
        <v>16608.900000000001</v>
      </c>
      <c r="I427" s="464">
        <v>0</v>
      </c>
      <c r="J427" s="464">
        <f t="shared" si="36"/>
        <v>16608.900000000001</v>
      </c>
      <c r="K427" s="299" t="s">
        <v>396</v>
      </c>
      <c r="L427" s="362"/>
    </row>
    <row r="428" spans="1:12" s="358" customFormat="1" ht="15" hidden="1" outlineLevel="2" x14ac:dyDescent="0.25">
      <c r="A428" s="245" t="s">
        <v>1141</v>
      </c>
      <c r="B428" s="360"/>
      <c r="C428" s="367" t="s">
        <v>495</v>
      </c>
      <c r="D428" s="363" t="s">
        <v>390</v>
      </c>
      <c r="E428" s="363">
        <v>36.299999999999997</v>
      </c>
      <c r="F428" s="464">
        <v>82.92</v>
      </c>
      <c r="G428" s="491">
        <v>0</v>
      </c>
      <c r="H428" s="464">
        <f t="shared" si="35"/>
        <v>3010</v>
      </c>
      <c r="I428" s="464">
        <v>0</v>
      </c>
      <c r="J428" s="464">
        <f t="shared" si="36"/>
        <v>3010</v>
      </c>
      <c r="K428" s="299" t="s">
        <v>496</v>
      </c>
      <c r="L428" s="362"/>
    </row>
    <row r="429" spans="1:12" s="358" customFormat="1" ht="15" hidden="1" outlineLevel="2" x14ac:dyDescent="0.25">
      <c r="A429" s="245" t="s">
        <v>1142</v>
      </c>
      <c r="B429" s="360"/>
      <c r="C429" s="367" t="s">
        <v>497</v>
      </c>
      <c r="D429" s="363" t="s">
        <v>390</v>
      </c>
      <c r="E429" s="363">
        <v>36.299999999999997</v>
      </c>
      <c r="F429" s="464">
        <v>405</v>
      </c>
      <c r="G429" s="491">
        <v>0</v>
      </c>
      <c r="H429" s="464">
        <f t="shared" si="35"/>
        <v>14701.5</v>
      </c>
      <c r="I429" s="464">
        <v>0</v>
      </c>
      <c r="J429" s="464">
        <f t="shared" si="36"/>
        <v>14701.5</v>
      </c>
      <c r="K429" s="299" t="s">
        <v>496</v>
      </c>
      <c r="L429" s="362"/>
    </row>
    <row r="430" spans="1:12" s="358" customFormat="1" ht="15" hidden="1" outlineLevel="2" x14ac:dyDescent="0.25">
      <c r="A430" s="245" t="s">
        <v>1143</v>
      </c>
      <c r="B430" s="360"/>
      <c r="C430" s="367" t="s">
        <v>393</v>
      </c>
      <c r="D430" s="363" t="s">
        <v>390</v>
      </c>
      <c r="E430" s="363">
        <v>130.65</v>
      </c>
      <c r="F430" s="464">
        <v>23</v>
      </c>
      <c r="G430" s="491">
        <v>0</v>
      </c>
      <c r="H430" s="464">
        <f t="shared" si="35"/>
        <v>3004.95</v>
      </c>
      <c r="I430" s="464">
        <v>0</v>
      </c>
      <c r="J430" s="464">
        <f t="shared" si="36"/>
        <v>3004.95</v>
      </c>
      <c r="K430" s="299" t="s">
        <v>394</v>
      </c>
      <c r="L430" s="362"/>
    </row>
    <row r="431" spans="1:12" s="358" customFormat="1" ht="15" hidden="1" outlineLevel="2" x14ac:dyDescent="0.25">
      <c r="A431" s="245" t="s">
        <v>1144</v>
      </c>
      <c r="B431" s="360"/>
      <c r="C431" s="367" t="s">
        <v>498</v>
      </c>
      <c r="D431" s="363" t="s">
        <v>60</v>
      </c>
      <c r="E431" s="363">
        <v>36.299999999999997</v>
      </c>
      <c r="F431" s="464">
        <v>1390</v>
      </c>
      <c r="G431" s="491">
        <v>0</v>
      </c>
      <c r="H431" s="464">
        <f t="shared" si="35"/>
        <v>50457</v>
      </c>
      <c r="I431" s="464">
        <v>0</v>
      </c>
      <c r="J431" s="464">
        <f t="shared" si="36"/>
        <v>50457</v>
      </c>
      <c r="K431" s="299" t="s">
        <v>499</v>
      </c>
      <c r="L431" s="362"/>
    </row>
    <row r="432" spans="1:12" s="358" customFormat="1" ht="25.5" hidden="1" outlineLevel="1" x14ac:dyDescent="0.25">
      <c r="A432" s="245" t="s">
        <v>1145</v>
      </c>
      <c r="B432" s="567"/>
      <c r="C432" s="529" t="s">
        <v>684</v>
      </c>
      <c r="D432" s="342" t="s">
        <v>33</v>
      </c>
      <c r="E432" s="306">
        <f>SUM(E433:E443)</f>
        <v>98.71</v>
      </c>
      <c r="F432" s="461"/>
      <c r="G432" s="491">
        <v>26900</v>
      </c>
      <c r="H432" s="464">
        <f t="shared" si="35"/>
        <v>0</v>
      </c>
      <c r="I432" s="464">
        <f t="shared" ref="I432:I488" si="37">G432*E432</f>
        <v>2655299</v>
      </c>
      <c r="J432" s="464">
        <f t="shared" si="36"/>
        <v>2655299</v>
      </c>
      <c r="K432" s="299"/>
      <c r="L432" s="750" t="s">
        <v>625</v>
      </c>
    </row>
    <row r="433" spans="1:12" s="358" customFormat="1" ht="15" hidden="1" outlineLevel="2" x14ac:dyDescent="0.25">
      <c r="A433" s="245" t="s">
        <v>1146</v>
      </c>
      <c r="B433" s="569"/>
      <c r="C433" s="533" t="s">
        <v>399</v>
      </c>
      <c r="D433" s="363" t="s">
        <v>33</v>
      </c>
      <c r="E433" s="574">
        <f>84.4/1000</f>
        <v>0.08</v>
      </c>
      <c r="F433" s="464">
        <v>58490</v>
      </c>
      <c r="G433" s="491">
        <v>0</v>
      </c>
      <c r="H433" s="464">
        <f t="shared" si="35"/>
        <v>4679.2</v>
      </c>
      <c r="I433" s="464">
        <v>0</v>
      </c>
      <c r="J433" s="464">
        <f t="shared" si="36"/>
        <v>4679.2</v>
      </c>
      <c r="K433" s="299"/>
      <c r="L433" s="751"/>
    </row>
    <row r="434" spans="1:12" s="358" customFormat="1" ht="15" hidden="1" outlineLevel="2" x14ac:dyDescent="0.25">
      <c r="A434" s="245" t="s">
        <v>1147</v>
      </c>
      <c r="B434" s="360"/>
      <c r="C434" s="533" t="s">
        <v>459</v>
      </c>
      <c r="D434" s="363" t="s">
        <v>33</v>
      </c>
      <c r="E434" s="574">
        <f>1147/1000</f>
        <v>1.1499999999999999</v>
      </c>
      <c r="F434" s="464">
        <v>59450</v>
      </c>
      <c r="G434" s="491">
        <v>0</v>
      </c>
      <c r="H434" s="464">
        <f t="shared" si="35"/>
        <v>68367.5</v>
      </c>
      <c r="I434" s="464">
        <v>0</v>
      </c>
      <c r="J434" s="464">
        <f t="shared" si="36"/>
        <v>68367.5</v>
      </c>
      <c r="K434" s="299"/>
      <c r="L434" s="751"/>
    </row>
    <row r="435" spans="1:12" s="358" customFormat="1" ht="15" hidden="1" outlineLevel="2" x14ac:dyDescent="0.25">
      <c r="A435" s="245" t="s">
        <v>1148</v>
      </c>
      <c r="B435" s="360"/>
      <c r="C435" s="533" t="s">
        <v>450</v>
      </c>
      <c r="D435" s="363" t="s">
        <v>33</v>
      </c>
      <c r="E435" s="574">
        <f>100/1000</f>
        <v>0.1</v>
      </c>
      <c r="F435" s="464">
        <v>58950</v>
      </c>
      <c r="G435" s="491">
        <v>0</v>
      </c>
      <c r="H435" s="464">
        <f t="shared" si="35"/>
        <v>5895</v>
      </c>
      <c r="I435" s="464">
        <v>0</v>
      </c>
      <c r="J435" s="464">
        <f t="shared" si="36"/>
        <v>5895</v>
      </c>
      <c r="K435" s="299"/>
      <c r="L435" s="751"/>
    </row>
    <row r="436" spans="1:12" s="358" customFormat="1" ht="15" hidden="1" outlineLevel="2" x14ac:dyDescent="0.25">
      <c r="A436" s="245" t="s">
        <v>1149</v>
      </c>
      <c r="B436" s="360"/>
      <c r="C436" s="533" t="s">
        <v>401</v>
      </c>
      <c r="D436" s="363" t="s">
        <v>33</v>
      </c>
      <c r="E436" s="574">
        <f>1315.3/1000</f>
        <v>1.32</v>
      </c>
      <c r="F436" s="464">
        <v>58150</v>
      </c>
      <c r="G436" s="491">
        <v>0</v>
      </c>
      <c r="H436" s="464">
        <f t="shared" si="35"/>
        <v>76758</v>
      </c>
      <c r="I436" s="464">
        <v>0</v>
      </c>
      <c r="J436" s="464">
        <f t="shared" si="36"/>
        <v>76758</v>
      </c>
      <c r="K436" s="299"/>
      <c r="L436" s="751"/>
    </row>
    <row r="437" spans="1:12" s="358" customFormat="1" ht="15" hidden="1" outlineLevel="2" x14ac:dyDescent="0.25">
      <c r="A437" s="245" t="s">
        <v>1150</v>
      </c>
      <c r="B437" s="360"/>
      <c r="C437" s="533" t="s">
        <v>426</v>
      </c>
      <c r="D437" s="363" t="s">
        <v>33</v>
      </c>
      <c r="E437" s="574">
        <f>3972.6/1000</f>
        <v>3.97</v>
      </c>
      <c r="F437" s="464">
        <v>58900</v>
      </c>
      <c r="G437" s="491">
        <v>0</v>
      </c>
      <c r="H437" s="464">
        <f t="shared" si="35"/>
        <v>233833</v>
      </c>
      <c r="I437" s="464">
        <v>0</v>
      </c>
      <c r="J437" s="464">
        <f t="shared" si="36"/>
        <v>233833</v>
      </c>
      <c r="K437" s="299"/>
      <c r="L437" s="751"/>
    </row>
    <row r="438" spans="1:12" s="358" customFormat="1" ht="15" hidden="1" outlineLevel="2" x14ac:dyDescent="0.25">
      <c r="A438" s="245" t="s">
        <v>1151</v>
      </c>
      <c r="B438" s="360"/>
      <c r="C438" s="533" t="s">
        <v>427</v>
      </c>
      <c r="D438" s="363" t="s">
        <v>33</v>
      </c>
      <c r="E438" s="574">
        <f>5889.5/1000</f>
        <v>5.89</v>
      </c>
      <c r="F438" s="464">
        <v>55350</v>
      </c>
      <c r="G438" s="491">
        <v>0</v>
      </c>
      <c r="H438" s="464">
        <f t="shared" si="35"/>
        <v>326011.5</v>
      </c>
      <c r="I438" s="464">
        <v>0</v>
      </c>
      <c r="J438" s="464">
        <f t="shared" si="36"/>
        <v>326011.5</v>
      </c>
      <c r="K438" s="299"/>
      <c r="L438" s="751"/>
    </row>
    <row r="439" spans="1:12" s="358" customFormat="1" ht="15" hidden="1" outlineLevel="2" x14ac:dyDescent="0.25">
      <c r="A439" s="245" t="s">
        <v>1152</v>
      </c>
      <c r="B439" s="360"/>
      <c r="C439" s="533" t="s">
        <v>440</v>
      </c>
      <c r="D439" s="363" t="s">
        <v>33</v>
      </c>
      <c r="E439" s="574">
        <f>134/1000</f>
        <v>0.13</v>
      </c>
      <c r="F439" s="464">
        <v>55350</v>
      </c>
      <c r="G439" s="491">
        <v>0</v>
      </c>
      <c r="H439" s="464">
        <f t="shared" si="35"/>
        <v>7195.5</v>
      </c>
      <c r="I439" s="464">
        <v>0</v>
      </c>
      <c r="J439" s="464">
        <f t="shared" si="36"/>
        <v>7195.5</v>
      </c>
      <c r="K439" s="299"/>
      <c r="L439" s="751"/>
    </row>
    <row r="440" spans="1:12" s="358" customFormat="1" ht="15" hidden="1" outlineLevel="2" x14ac:dyDescent="0.25">
      <c r="A440" s="245" t="s">
        <v>1153</v>
      </c>
      <c r="B440" s="360"/>
      <c r="C440" s="533" t="s">
        <v>428</v>
      </c>
      <c r="D440" s="363" t="s">
        <v>33</v>
      </c>
      <c r="E440" s="574">
        <f>61594.1/1000</f>
        <v>61.59</v>
      </c>
      <c r="F440" s="464">
        <v>55350</v>
      </c>
      <c r="G440" s="491">
        <v>0</v>
      </c>
      <c r="H440" s="464">
        <f t="shared" si="35"/>
        <v>3409006.5</v>
      </c>
      <c r="I440" s="464">
        <v>0</v>
      </c>
      <c r="J440" s="464">
        <f t="shared" si="36"/>
        <v>3409006.5</v>
      </c>
      <c r="K440" s="299"/>
      <c r="L440" s="751"/>
    </row>
    <row r="441" spans="1:12" s="358" customFormat="1" ht="15" hidden="1" outlineLevel="2" x14ac:dyDescent="0.25">
      <c r="A441" s="245" t="s">
        <v>1154</v>
      </c>
      <c r="B441" s="360"/>
      <c r="C441" s="533" t="s">
        <v>429</v>
      </c>
      <c r="D441" s="363" t="s">
        <v>33</v>
      </c>
      <c r="E441" s="574">
        <f>6864/1000</f>
        <v>6.86</v>
      </c>
      <c r="F441" s="464">
        <v>55350</v>
      </c>
      <c r="G441" s="491">
        <v>0</v>
      </c>
      <c r="H441" s="464">
        <f t="shared" si="35"/>
        <v>379701</v>
      </c>
      <c r="I441" s="464">
        <v>0</v>
      </c>
      <c r="J441" s="464">
        <f t="shared" si="36"/>
        <v>379701</v>
      </c>
      <c r="K441" s="299"/>
      <c r="L441" s="751"/>
    </row>
    <row r="442" spans="1:12" s="358" customFormat="1" ht="15" hidden="1" outlineLevel="2" x14ac:dyDescent="0.25">
      <c r="A442" s="245" t="s">
        <v>1155</v>
      </c>
      <c r="B442" s="360"/>
      <c r="C442" s="533" t="s">
        <v>430</v>
      </c>
      <c r="D442" s="363" t="s">
        <v>33</v>
      </c>
      <c r="E442" s="574">
        <f>3069.8/1000</f>
        <v>3.07</v>
      </c>
      <c r="F442" s="464">
        <v>55350</v>
      </c>
      <c r="G442" s="491">
        <v>0</v>
      </c>
      <c r="H442" s="464">
        <f t="shared" ref="H442:H466" si="38">F442*E442</f>
        <v>169924.5</v>
      </c>
      <c r="I442" s="464">
        <v>0</v>
      </c>
      <c r="J442" s="464">
        <f t="shared" si="36"/>
        <v>169924.5</v>
      </c>
      <c r="K442" s="299"/>
      <c r="L442" s="751"/>
    </row>
    <row r="443" spans="1:12" s="358" customFormat="1" ht="15" hidden="1" outlineLevel="2" x14ac:dyDescent="0.25">
      <c r="A443" s="245" t="s">
        <v>1156</v>
      </c>
      <c r="B443" s="360"/>
      <c r="C443" s="533" t="s">
        <v>431</v>
      </c>
      <c r="D443" s="363" t="s">
        <v>33</v>
      </c>
      <c r="E443" s="574">
        <f>14548.2/1000</f>
        <v>14.55</v>
      </c>
      <c r="F443" s="464">
        <v>55900</v>
      </c>
      <c r="G443" s="491">
        <v>0</v>
      </c>
      <c r="H443" s="464">
        <f t="shared" si="38"/>
        <v>813345</v>
      </c>
      <c r="I443" s="464">
        <v>0</v>
      </c>
      <c r="J443" s="464">
        <f t="shared" si="36"/>
        <v>813345</v>
      </c>
      <c r="K443" s="299"/>
      <c r="L443" s="751"/>
    </row>
    <row r="444" spans="1:12" s="358" customFormat="1" ht="25.5" hidden="1" outlineLevel="1" x14ac:dyDescent="0.25">
      <c r="A444" s="245" t="s">
        <v>1157</v>
      </c>
      <c r="B444" s="567"/>
      <c r="C444" s="337" t="s">
        <v>702</v>
      </c>
      <c r="D444" s="544" t="s">
        <v>0</v>
      </c>
      <c r="E444" s="548">
        <f>E445</f>
        <v>347</v>
      </c>
      <c r="F444" s="464"/>
      <c r="G444" s="491">
        <v>5600</v>
      </c>
      <c r="H444" s="464">
        <f t="shared" si="38"/>
        <v>0</v>
      </c>
      <c r="I444" s="464">
        <f t="shared" si="37"/>
        <v>1943200</v>
      </c>
      <c r="J444" s="464">
        <f t="shared" si="36"/>
        <v>1943200</v>
      </c>
      <c r="K444" s="297" t="s">
        <v>503</v>
      </c>
      <c r="L444" s="752"/>
    </row>
    <row r="445" spans="1:12" s="358" customFormat="1" ht="15" hidden="1" outlineLevel="2" x14ac:dyDescent="0.25">
      <c r="A445" s="245" t="s">
        <v>1158</v>
      </c>
      <c r="B445" s="367"/>
      <c r="C445" s="367" t="s">
        <v>414</v>
      </c>
      <c r="D445" s="363" t="s">
        <v>0</v>
      </c>
      <c r="E445" s="546">
        <v>347</v>
      </c>
      <c r="F445" s="464">
        <v>7475</v>
      </c>
      <c r="G445" s="491">
        <v>0</v>
      </c>
      <c r="H445" s="464">
        <f t="shared" si="38"/>
        <v>2593825</v>
      </c>
      <c r="I445" s="464">
        <v>0</v>
      </c>
      <c r="J445" s="464">
        <f t="shared" si="36"/>
        <v>2593825</v>
      </c>
      <c r="K445" s="299" t="s">
        <v>491</v>
      </c>
      <c r="L445" s="362"/>
    </row>
    <row r="446" spans="1:12" s="358" customFormat="1" ht="15" hidden="1" outlineLevel="1" x14ac:dyDescent="0.25">
      <c r="A446" s="245" t="s">
        <v>1159</v>
      </c>
      <c r="B446" s="567"/>
      <c r="C446" s="335" t="s">
        <v>504</v>
      </c>
      <c r="D446" s="544" t="s">
        <v>390</v>
      </c>
      <c r="E446" s="544">
        <f>E449</f>
        <v>74.2</v>
      </c>
      <c r="F446" s="464"/>
      <c r="G446" s="491">
        <v>1725</v>
      </c>
      <c r="H446" s="464">
        <f t="shared" si="38"/>
        <v>0</v>
      </c>
      <c r="I446" s="464">
        <f t="shared" si="37"/>
        <v>127995</v>
      </c>
      <c r="J446" s="464">
        <f t="shared" si="36"/>
        <v>127995</v>
      </c>
      <c r="K446" s="299"/>
      <c r="L446" s="362"/>
    </row>
    <row r="447" spans="1:12" s="358" customFormat="1" ht="15" hidden="1" outlineLevel="2" x14ac:dyDescent="0.25">
      <c r="A447" s="245" t="s">
        <v>1160</v>
      </c>
      <c r="B447" s="367"/>
      <c r="C447" s="367" t="s">
        <v>493</v>
      </c>
      <c r="D447" s="469" t="s">
        <v>92</v>
      </c>
      <c r="E447" s="546">
        <v>0.2</v>
      </c>
      <c r="F447" s="464">
        <v>445</v>
      </c>
      <c r="G447" s="491">
        <v>0</v>
      </c>
      <c r="H447" s="464">
        <f t="shared" si="38"/>
        <v>89</v>
      </c>
      <c r="I447" s="464">
        <v>0</v>
      </c>
      <c r="J447" s="464">
        <f t="shared" si="36"/>
        <v>89</v>
      </c>
      <c r="K447" s="299" t="s">
        <v>494</v>
      </c>
      <c r="L447" s="362"/>
    </row>
    <row r="448" spans="1:12" s="358" customFormat="1" ht="15" hidden="1" outlineLevel="2" x14ac:dyDescent="0.25">
      <c r="A448" s="245" t="s">
        <v>1161</v>
      </c>
      <c r="B448" s="367"/>
      <c r="C448" s="367" t="s">
        <v>395</v>
      </c>
      <c r="D448" s="363" t="s">
        <v>0</v>
      </c>
      <c r="E448" s="546">
        <v>2.5</v>
      </c>
      <c r="F448" s="464">
        <v>15099</v>
      </c>
      <c r="G448" s="491">
        <v>0</v>
      </c>
      <c r="H448" s="464">
        <f t="shared" si="38"/>
        <v>37747.5</v>
      </c>
      <c r="I448" s="464">
        <v>0</v>
      </c>
      <c r="J448" s="464">
        <f t="shared" si="36"/>
        <v>37747.5</v>
      </c>
      <c r="K448" s="299" t="s">
        <v>396</v>
      </c>
      <c r="L448" s="362"/>
    </row>
    <row r="449" spans="1:12" s="358" customFormat="1" ht="15" hidden="1" outlineLevel="2" x14ac:dyDescent="0.25">
      <c r="A449" s="245" t="s">
        <v>1162</v>
      </c>
      <c r="B449" s="367"/>
      <c r="C449" s="367" t="s">
        <v>495</v>
      </c>
      <c r="D449" s="363" t="s">
        <v>390</v>
      </c>
      <c r="E449" s="363">
        <v>74.2</v>
      </c>
      <c r="F449" s="464">
        <v>82.92</v>
      </c>
      <c r="G449" s="491">
        <v>0</v>
      </c>
      <c r="H449" s="464">
        <f t="shared" si="38"/>
        <v>6152.66</v>
      </c>
      <c r="I449" s="464">
        <v>0</v>
      </c>
      <c r="J449" s="464">
        <f t="shared" si="36"/>
        <v>6152.66</v>
      </c>
      <c r="K449" s="299" t="s">
        <v>496</v>
      </c>
      <c r="L449" s="362"/>
    </row>
    <row r="450" spans="1:12" s="358" customFormat="1" ht="15" hidden="1" outlineLevel="2" x14ac:dyDescent="0.25">
      <c r="A450" s="245" t="s">
        <v>1163</v>
      </c>
      <c r="B450" s="367"/>
      <c r="C450" s="367" t="s">
        <v>497</v>
      </c>
      <c r="D450" s="363" t="s">
        <v>390</v>
      </c>
      <c r="E450" s="363">
        <v>74.2</v>
      </c>
      <c r="F450" s="464">
        <v>405</v>
      </c>
      <c r="G450" s="491">
        <v>0</v>
      </c>
      <c r="H450" s="464">
        <f t="shared" si="38"/>
        <v>30051</v>
      </c>
      <c r="I450" s="464">
        <v>0</v>
      </c>
      <c r="J450" s="464">
        <f t="shared" si="36"/>
        <v>30051</v>
      </c>
      <c r="K450" s="299" t="s">
        <v>496</v>
      </c>
      <c r="L450" s="362"/>
    </row>
    <row r="451" spans="1:12" s="358" customFormat="1" ht="15" hidden="1" outlineLevel="2" x14ac:dyDescent="0.25">
      <c r="A451" s="245" t="s">
        <v>1164</v>
      </c>
      <c r="B451" s="367"/>
      <c r="C451" s="367" t="s">
        <v>393</v>
      </c>
      <c r="D451" s="363" t="s">
        <v>390</v>
      </c>
      <c r="E451" s="363">
        <v>267.93</v>
      </c>
      <c r="F451" s="464">
        <v>23</v>
      </c>
      <c r="G451" s="491">
        <v>0</v>
      </c>
      <c r="H451" s="464">
        <f t="shared" si="38"/>
        <v>6162.39</v>
      </c>
      <c r="I451" s="464">
        <v>0</v>
      </c>
      <c r="J451" s="464">
        <f t="shared" si="36"/>
        <v>6162.39</v>
      </c>
      <c r="K451" s="299" t="s">
        <v>394</v>
      </c>
      <c r="L451" s="362"/>
    </row>
    <row r="452" spans="1:12" s="358" customFormat="1" ht="15" hidden="1" outlineLevel="2" x14ac:dyDescent="0.25">
      <c r="A452" s="245" t="s">
        <v>1165</v>
      </c>
      <c r="B452" s="367"/>
      <c r="C452" s="367" t="s">
        <v>498</v>
      </c>
      <c r="D452" s="363" t="s">
        <v>60</v>
      </c>
      <c r="E452" s="546">
        <v>74.2</v>
      </c>
      <c r="F452" s="464">
        <v>1390</v>
      </c>
      <c r="G452" s="491">
        <v>0</v>
      </c>
      <c r="H452" s="464">
        <f t="shared" si="38"/>
        <v>103138</v>
      </c>
      <c r="I452" s="464">
        <v>0</v>
      </c>
      <c r="J452" s="464">
        <f t="shared" si="36"/>
        <v>103138</v>
      </c>
      <c r="K452" s="299" t="s">
        <v>499</v>
      </c>
      <c r="L452" s="362"/>
    </row>
    <row r="453" spans="1:12" s="358" customFormat="1" ht="25.5" hidden="1" outlineLevel="1" x14ac:dyDescent="0.25">
      <c r="A453" s="245" t="s">
        <v>1166</v>
      </c>
      <c r="B453" s="567"/>
      <c r="C453" s="529" t="s">
        <v>505</v>
      </c>
      <c r="D453" s="342" t="s">
        <v>33</v>
      </c>
      <c r="E453" s="306">
        <f>SUM(E454:E464)</f>
        <v>201.18</v>
      </c>
      <c r="F453" s="461"/>
      <c r="G453" s="491">
        <v>26900</v>
      </c>
      <c r="H453" s="464">
        <f t="shared" si="38"/>
        <v>0</v>
      </c>
      <c r="I453" s="464">
        <f t="shared" si="37"/>
        <v>5411742</v>
      </c>
      <c r="J453" s="464">
        <f t="shared" si="36"/>
        <v>5411742</v>
      </c>
      <c r="K453" s="299"/>
      <c r="L453" s="362"/>
    </row>
    <row r="454" spans="1:12" s="358" customFormat="1" ht="15" hidden="1" outlineLevel="2" x14ac:dyDescent="0.25">
      <c r="A454" s="245" t="s">
        <v>1167</v>
      </c>
      <c r="B454" s="569"/>
      <c r="C454" s="533" t="s">
        <v>399</v>
      </c>
      <c r="D454" s="363" t="s">
        <v>33</v>
      </c>
      <c r="E454" s="546">
        <f>176.7/1000</f>
        <v>0.18</v>
      </c>
      <c r="F454" s="464">
        <v>58490</v>
      </c>
      <c r="G454" s="491">
        <v>0</v>
      </c>
      <c r="H454" s="464">
        <f t="shared" si="38"/>
        <v>10528.2</v>
      </c>
      <c r="I454" s="464">
        <v>0</v>
      </c>
      <c r="J454" s="464">
        <f t="shared" si="36"/>
        <v>10528.2</v>
      </c>
      <c r="K454" s="299"/>
      <c r="L454" s="362"/>
    </row>
    <row r="455" spans="1:12" s="358" customFormat="1" ht="15" hidden="1" outlineLevel="2" x14ac:dyDescent="0.25">
      <c r="A455" s="245" t="s">
        <v>1168</v>
      </c>
      <c r="B455" s="360"/>
      <c r="C455" s="533" t="s">
        <v>459</v>
      </c>
      <c r="D455" s="363" t="s">
        <v>33</v>
      </c>
      <c r="E455" s="546">
        <f>2981.1/1000</f>
        <v>2.98</v>
      </c>
      <c r="F455" s="464">
        <v>59450</v>
      </c>
      <c r="G455" s="491">
        <v>0</v>
      </c>
      <c r="H455" s="464">
        <f t="shared" si="38"/>
        <v>177161</v>
      </c>
      <c r="I455" s="464">
        <v>0</v>
      </c>
      <c r="J455" s="464">
        <f t="shared" si="36"/>
        <v>177161</v>
      </c>
      <c r="K455" s="299"/>
      <c r="L455" s="362"/>
    </row>
    <row r="456" spans="1:12" s="358" customFormat="1" ht="15" hidden="1" outlineLevel="2" x14ac:dyDescent="0.25">
      <c r="A456" s="245" t="s">
        <v>1169</v>
      </c>
      <c r="B456" s="360"/>
      <c r="C456" s="533" t="s">
        <v>450</v>
      </c>
      <c r="D456" s="363" t="s">
        <v>33</v>
      </c>
      <c r="E456" s="546">
        <f>235/1000</f>
        <v>0.24</v>
      </c>
      <c r="F456" s="464">
        <v>58950</v>
      </c>
      <c r="G456" s="491">
        <v>0</v>
      </c>
      <c r="H456" s="464">
        <f t="shared" si="38"/>
        <v>14148</v>
      </c>
      <c r="I456" s="464">
        <v>0</v>
      </c>
      <c r="J456" s="464">
        <f t="shared" si="36"/>
        <v>14148</v>
      </c>
      <c r="K456" s="299"/>
      <c r="L456" s="362"/>
    </row>
    <row r="457" spans="1:12" s="358" customFormat="1" ht="15" hidden="1" outlineLevel="2" x14ac:dyDescent="0.25">
      <c r="A457" s="245" t="s">
        <v>1170</v>
      </c>
      <c r="B457" s="360"/>
      <c r="C457" s="533" t="s">
        <v>401</v>
      </c>
      <c r="D457" s="363" t="s">
        <v>33</v>
      </c>
      <c r="E457" s="546">
        <f>2982.8/1000</f>
        <v>2.98</v>
      </c>
      <c r="F457" s="464">
        <v>58150</v>
      </c>
      <c r="G457" s="491">
        <v>0</v>
      </c>
      <c r="H457" s="464">
        <f t="shared" si="38"/>
        <v>173287</v>
      </c>
      <c r="I457" s="464">
        <v>0</v>
      </c>
      <c r="J457" s="464">
        <f t="shared" si="36"/>
        <v>173287</v>
      </c>
      <c r="K457" s="299"/>
      <c r="L457" s="362"/>
    </row>
    <row r="458" spans="1:12" s="358" customFormat="1" ht="15" hidden="1" outlineLevel="2" x14ac:dyDescent="0.25">
      <c r="A458" s="245" t="s">
        <v>1171</v>
      </c>
      <c r="B458" s="360"/>
      <c r="C458" s="533" t="s">
        <v>426</v>
      </c>
      <c r="D458" s="363" t="s">
        <v>33</v>
      </c>
      <c r="E458" s="546">
        <f>9788.5/1000</f>
        <v>9.7899999999999991</v>
      </c>
      <c r="F458" s="464">
        <v>58900</v>
      </c>
      <c r="G458" s="491">
        <v>0</v>
      </c>
      <c r="H458" s="464">
        <f t="shared" si="38"/>
        <v>576631</v>
      </c>
      <c r="I458" s="464">
        <v>0</v>
      </c>
      <c r="J458" s="464">
        <f t="shared" si="36"/>
        <v>576631</v>
      </c>
      <c r="K458" s="299"/>
      <c r="L458" s="362"/>
    </row>
    <row r="459" spans="1:12" s="358" customFormat="1" ht="15" hidden="1" outlineLevel="2" x14ac:dyDescent="0.25">
      <c r="A459" s="245" t="s">
        <v>1172</v>
      </c>
      <c r="B459" s="360"/>
      <c r="C459" s="533" t="s">
        <v>427</v>
      </c>
      <c r="D459" s="363" t="s">
        <v>33</v>
      </c>
      <c r="E459" s="546">
        <f>12628.6/1000</f>
        <v>12.63</v>
      </c>
      <c r="F459" s="464">
        <v>55350</v>
      </c>
      <c r="G459" s="491">
        <v>0</v>
      </c>
      <c r="H459" s="464">
        <f t="shared" si="38"/>
        <v>699070.5</v>
      </c>
      <c r="I459" s="464">
        <v>0</v>
      </c>
      <c r="J459" s="464">
        <f t="shared" si="36"/>
        <v>699070.5</v>
      </c>
      <c r="K459" s="299"/>
      <c r="L459" s="362"/>
    </row>
    <row r="460" spans="1:12" s="358" customFormat="1" ht="15" hidden="1" outlineLevel="2" x14ac:dyDescent="0.25">
      <c r="A460" s="245" t="s">
        <v>1173</v>
      </c>
      <c r="B460" s="360"/>
      <c r="C460" s="533" t="s">
        <v>440</v>
      </c>
      <c r="D460" s="363" t="s">
        <v>33</v>
      </c>
      <c r="E460" s="546">
        <f>499/1000</f>
        <v>0.5</v>
      </c>
      <c r="F460" s="464">
        <v>55350</v>
      </c>
      <c r="G460" s="491">
        <v>0</v>
      </c>
      <c r="H460" s="464">
        <f t="shared" si="38"/>
        <v>27675</v>
      </c>
      <c r="I460" s="464">
        <v>0</v>
      </c>
      <c r="J460" s="464">
        <f t="shared" si="36"/>
        <v>27675</v>
      </c>
      <c r="K460" s="299"/>
      <c r="L460" s="362"/>
    </row>
    <row r="461" spans="1:12" s="358" customFormat="1" ht="15" hidden="1" outlineLevel="2" x14ac:dyDescent="0.25">
      <c r="A461" s="245" t="s">
        <v>1174</v>
      </c>
      <c r="B461" s="360"/>
      <c r="C461" s="533" t="s">
        <v>428</v>
      </c>
      <c r="D461" s="363" t="s">
        <v>33</v>
      </c>
      <c r="E461" s="546">
        <f>138085.3/1000</f>
        <v>138.09</v>
      </c>
      <c r="F461" s="464">
        <v>55350</v>
      </c>
      <c r="G461" s="491">
        <v>0</v>
      </c>
      <c r="H461" s="464">
        <f t="shared" si="38"/>
        <v>7643281.5</v>
      </c>
      <c r="I461" s="464">
        <v>0</v>
      </c>
      <c r="J461" s="464">
        <f t="shared" si="36"/>
        <v>7643281.5</v>
      </c>
      <c r="K461" s="299"/>
      <c r="L461" s="362"/>
    </row>
    <row r="462" spans="1:12" s="358" customFormat="1" ht="15" hidden="1" outlineLevel="2" x14ac:dyDescent="0.25">
      <c r="A462" s="245" t="s">
        <v>1175</v>
      </c>
      <c r="B462" s="360"/>
      <c r="C462" s="533" t="s">
        <v>429</v>
      </c>
      <c r="D462" s="363" t="s">
        <v>33</v>
      </c>
      <c r="E462" s="546">
        <f>8187.5/1000</f>
        <v>8.19</v>
      </c>
      <c r="F462" s="464">
        <v>55350</v>
      </c>
      <c r="G462" s="491">
        <v>0</v>
      </c>
      <c r="H462" s="464">
        <f t="shared" si="38"/>
        <v>453316.5</v>
      </c>
      <c r="I462" s="464">
        <v>0</v>
      </c>
      <c r="J462" s="464">
        <f t="shared" si="36"/>
        <v>453316.5</v>
      </c>
      <c r="K462" s="299"/>
      <c r="L462" s="362"/>
    </row>
    <row r="463" spans="1:12" s="358" customFormat="1" ht="15" hidden="1" outlineLevel="2" x14ac:dyDescent="0.25">
      <c r="A463" s="245" t="s">
        <v>1176</v>
      </c>
      <c r="B463" s="360"/>
      <c r="C463" s="533" t="s">
        <v>430</v>
      </c>
      <c r="D463" s="363" t="s">
        <v>33</v>
      </c>
      <c r="E463" s="539">
        <f>15364.8/1000</f>
        <v>15.36</v>
      </c>
      <c r="F463" s="464">
        <v>55350</v>
      </c>
      <c r="G463" s="491">
        <v>0</v>
      </c>
      <c r="H463" s="464">
        <f t="shared" si="38"/>
        <v>850176</v>
      </c>
      <c r="I463" s="464">
        <v>0</v>
      </c>
      <c r="J463" s="464">
        <f t="shared" si="36"/>
        <v>850176</v>
      </c>
      <c r="K463" s="299"/>
      <c r="L463" s="362"/>
    </row>
    <row r="464" spans="1:12" s="358" customFormat="1" ht="15" hidden="1" outlineLevel="2" x14ac:dyDescent="0.25">
      <c r="A464" s="245" t="s">
        <v>1177</v>
      </c>
      <c r="B464" s="360"/>
      <c r="C464" s="533" t="s">
        <v>431</v>
      </c>
      <c r="D464" s="363" t="s">
        <v>33</v>
      </c>
      <c r="E464" s="539">
        <f>10238.4/1000</f>
        <v>10.24</v>
      </c>
      <c r="F464" s="464">
        <v>55900</v>
      </c>
      <c r="G464" s="491">
        <v>0</v>
      </c>
      <c r="H464" s="464">
        <f t="shared" si="38"/>
        <v>572416</v>
      </c>
      <c r="I464" s="464">
        <v>0</v>
      </c>
      <c r="J464" s="464">
        <f t="shared" si="36"/>
        <v>572416</v>
      </c>
      <c r="K464" s="299"/>
      <c r="L464" s="362"/>
    </row>
    <row r="465" spans="1:33" s="358" customFormat="1" ht="33" hidden="1" customHeight="1" outlineLevel="1" x14ac:dyDescent="0.25">
      <c r="A465" s="245" t="s">
        <v>1178</v>
      </c>
      <c r="B465" s="567"/>
      <c r="C465" s="337" t="s">
        <v>506</v>
      </c>
      <c r="D465" s="544" t="s">
        <v>0</v>
      </c>
      <c r="E465" s="548">
        <f>E466</f>
        <v>875</v>
      </c>
      <c r="F465" s="444"/>
      <c r="G465" s="491">
        <v>5600</v>
      </c>
      <c r="H465" s="464">
        <f t="shared" si="38"/>
        <v>0</v>
      </c>
      <c r="I465" s="464">
        <f t="shared" si="37"/>
        <v>4900000</v>
      </c>
      <c r="J465" s="464">
        <f t="shared" si="36"/>
        <v>4900000</v>
      </c>
      <c r="K465" s="184" t="s">
        <v>507</v>
      </c>
      <c r="L465" s="362"/>
    </row>
    <row r="466" spans="1:33" s="358" customFormat="1" ht="18" hidden="1" customHeight="1" outlineLevel="2" x14ac:dyDescent="0.25">
      <c r="A466" s="245" t="s">
        <v>1179</v>
      </c>
      <c r="B466" s="367"/>
      <c r="C466" s="367" t="s">
        <v>414</v>
      </c>
      <c r="D466" s="363" t="s">
        <v>0</v>
      </c>
      <c r="E466" s="546">
        <v>875</v>
      </c>
      <c r="F466" s="444">
        <v>7475</v>
      </c>
      <c r="G466" s="491">
        <v>0</v>
      </c>
      <c r="H466" s="464">
        <f t="shared" si="38"/>
        <v>6540625</v>
      </c>
      <c r="I466" s="464">
        <v>0</v>
      </c>
      <c r="J466" s="464">
        <f t="shared" si="36"/>
        <v>6540625</v>
      </c>
      <c r="K466" s="299"/>
      <c r="L466" s="362"/>
    </row>
    <row r="467" spans="1:33" s="63" customFormat="1" ht="21" customHeight="1" collapsed="1" x14ac:dyDescent="0.25">
      <c r="A467" s="245" t="s">
        <v>1180</v>
      </c>
      <c r="B467" s="379" t="s">
        <v>6</v>
      </c>
      <c r="C467" s="380" t="s">
        <v>727</v>
      </c>
      <c r="D467" s="385" t="str">
        <f>D468</f>
        <v>м2</v>
      </c>
      <c r="E467" s="385" t="str">
        <f>E468</f>
        <v>1845</v>
      </c>
      <c r="F467" s="445"/>
      <c r="G467" s="504"/>
      <c r="H467" s="445"/>
      <c r="I467" s="445">
        <f t="shared" si="37"/>
        <v>0</v>
      </c>
      <c r="J467" s="445">
        <f t="shared" si="36"/>
        <v>0</v>
      </c>
      <c r="K467" s="382"/>
      <c r="L467" s="65"/>
      <c r="M467" s="338"/>
      <c r="N467" s="338"/>
      <c r="O467" s="338"/>
      <c r="P467" s="338"/>
      <c r="Q467" s="338"/>
      <c r="R467" s="338"/>
      <c r="S467" s="338"/>
      <c r="T467" s="338"/>
      <c r="U467" s="338"/>
      <c r="V467" s="338"/>
      <c r="W467" s="338"/>
      <c r="X467" s="338"/>
      <c r="Y467" s="338"/>
      <c r="Z467" s="338"/>
      <c r="AA467" s="338"/>
      <c r="AB467" s="338"/>
      <c r="AC467" s="338"/>
      <c r="AD467" s="338"/>
      <c r="AE467" s="338"/>
      <c r="AF467" s="338"/>
      <c r="AG467" s="338"/>
    </row>
    <row r="468" spans="1:33" s="180" customFormat="1" hidden="1" outlineLevel="1" x14ac:dyDescent="0.25">
      <c r="A468" s="245" t="s">
        <v>1181</v>
      </c>
      <c r="B468" s="245" t="s">
        <v>16</v>
      </c>
      <c r="C468" s="435" t="s">
        <v>725</v>
      </c>
      <c r="D468" s="247" t="s">
        <v>89</v>
      </c>
      <c r="E468" s="247" t="s">
        <v>512</v>
      </c>
      <c r="F468" s="461"/>
      <c r="G468" s="491">
        <v>765</v>
      </c>
      <c r="H468" s="464">
        <f t="shared" ref="H468:H485" si="39">F468*E468</f>
        <v>0</v>
      </c>
      <c r="I468" s="464">
        <f t="shared" si="37"/>
        <v>1411425</v>
      </c>
      <c r="J468" s="464">
        <f t="shared" si="36"/>
        <v>1411425</v>
      </c>
      <c r="K468" s="297"/>
      <c r="L468" s="179"/>
    </row>
    <row r="469" spans="1:33" s="180" customFormat="1" hidden="1" outlineLevel="2" x14ac:dyDescent="0.25">
      <c r="A469" s="245" t="s">
        <v>1182</v>
      </c>
      <c r="B469" s="245"/>
      <c r="C469" s="250" t="s">
        <v>726</v>
      </c>
      <c r="D469" s="178" t="s">
        <v>514</v>
      </c>
      <c r="E469" s="178" t="s">
        <v>515</v>
      </c>
      <c r="F469" s="484">
        <v>79566</v>
      </c>
      <c r="G469" s="491">
        <v>0</v>
      </c>
      <c r="H469" s="464">
        <f t="shared" si="39"/>
        <v>5649186</v>
      </c>
      <c r="I469" s="464">
        <f t="shared" si="37"/>
        <v>0</v>
      </c>
      <c r="J469" s="464">
        <f t="shared" si="36"/>
        <v>5649186</v>
      </c>
      <c r="K469" s="299" t="s">
        <v>516</v>
      </c>
      <c r="L469" s="179"/>
    </row>
    <row r="470" spans="1:33" s="180" customFormat="1" hidden="1" outlineLevel="1" x14ac:dyDescent="0.25">
      <c r="A470" s="245" t="s">
        <v>1183</v>
      </c>
      <c r="B470" s="245" t="s">
        <v>17</v>
      </c>
      <c r="C470" s="435" t="s">
        <v>686</v>
      </c>
      <c r="D470" s="247" t="s">
        <v>89</v>
      </c>
      <c r="E470" s="247" t="s">
        <v>518</v>
      </c>
      <c r="F470" s="488"/>
      <c r="G470" s="491">
        <v>1100</v>
      </c>
      <c r="H470" s="464">
        <f t="shared" si="39"/>
        <v>0</v>
      </c>
      <c r="I470" s="464">
        <f t="shared" si="37"/>
        <v>2295700</v>
      </c>
      <c r="J470" s="464">
        <f t="shared" si="36"/>
        <v>2295700</v>
      </c>
      <c r="K470" s="297" t="s">
        <v>687</v>
      </c>
      <c r="L470" s="179"/>
    </row>
    <row r="471" spans="1:33" s="180" customFormat="1" hidden="1" outlineLevel="2" x14ac:dyDescent="0.25">
      <c r="A471" s="245" t="s">
        <v>1184</v>
      </c>
      <c r="B471" s="245"/>
      <c r="C471" s="250" t="s">
        <v>519</v>
      </c>
      <c r="D471" s="178" t="s">
        <v>514</v>
      </c>
      <c r="E471" s="178" t="s">
        <v>51</v>
      </c>
      <c r="F471" s="461">
        <v>73500</v>
      </c>
      <c r="G471" s="491">
        <v>0</v>
      </c>
      <c r="H471" s="464">
        <f t="shared" si="39"/>
        <v>2793000</v>
      </c>
      <c r="I471" s="464">
        <v>0</v>
      </c>
      <c r="J471" s="464">
        <f t="shared" si="36"/>
        <v>2793000</v>
      </c>
      <c r="K471" s="297"/>
      <c r="L471" s="179"/>
    </row>
    <row r="472" spans="1:33" s="180" customFormat="1" hidden="1" outlineLevel="1" x14ac:dyDescent="0.25">
      <c r="A472" s="245" t="s">
        <v>1185</v>
      </c>
      <c r="B472" s="245" t="s">
        <v>18</v>
      </c>
      <c r="C472" s="246" t="s">
        <v>520</v>
      </c>
      <c r="D472" s="247" t="s">
        <v>89</v>
      </c>
      <c r="E472" s="247" t="s">
        <v>518</v>
      </c>
      <c r="F472" s="461"/>
      <c r="G472" s="491">
        <v>255</v>
      </c>
      <c r="H472" s="464">
        <f t="shared" si="39"/>
        <v>0</v>
      </c>
      <c r="I472" s="464">
        <f t="shared" si="37"/>
        <v>532185</v>
      </c>
      <c r="J472" s="464">
        <f t="shared" si="36"/>
        <v>532185</v>
      </c>
      <c r="K472" s="297"/>
      <c r="L472" s="179"/>
    </row>
    <row r="473" spans="1:33" s="180" customFormat="1" ht="28.5" hidden="1" customHeight="1" outlineLevel="2" x14ac:dyDescent="0.25">
      <c r="A473" s="245" t="s">
        <v>1186</v>
      </c>
      <c r="B473" s="245"/>
      <c r="C473" s="250" t="s">
        <v>521</v>
      </c>
      <c r="D473" s="178" t="s">
        <v>514</v>
      </c>
      <c r="E473" s="178" t="s">
        <v>522</v>
      </c>
      <c r="F473" s="484">
        <v>186.33</v>
      </c>
      <c r="G473" s="491">
        <v>0</v>
      </c>
      <c r="H473" s="464">
        <f t="shared" si="39"/>
        <v>4471.92</v>
      </c>
      <c r="I473" s="464">
        <v>0</v>
      </c>
      <c r="J473" s="464">
        <f t="shared" si="36"/>
        <v>4471.92</v>
      </c>
      <c r="K473" s="299" t="s">
        <v>523</v>
      </c>
      <c r="L473" s="179"/>
    </row>
    <row r="474" spans="1:33" s="180" customFormat="1" ht="25.5" hidden="1" outlineLevel="1" x14ac:dyDescent="0.25">
      <c r="A474" s="245" t="s">
        <v>1187</v>
      </c>
      <c r="B474" s="245" t="s">
        <v>19</v>
      </c>
      <c r="C474" s="246" t="s">
        <v>524</v>
      </c>
      <c r="D474" s="247" t="s">
        <v>60</v>
      </c>
      <c r="E474" s="247">
        <f>E475</f>
        <v>1207</v>
      </c>
      <c r="F474" s="461"/>
      <c r="G474" s="491">
        <f>G126</f>
        <v>120</v>
      </c>
      <c r="H474" s="464">
        <f t="shared" si="39"/>
        <v>0</v>
      </c>
      <c r="I474" s="464">
        <f t="shared" si="37"/>
        <v>144840</v>
      </c>
      <c r="J474" s="464">
        <f t="shared" si="36"/>
        <v>144840</v>
      </c>
      <c r="K474" s="297"/>
      <c r="L474" s="179"/>
    </row>
    <row r="475" spans="1:33" s="180" customFormat="1" hidden="1" outlineLevel="2" x14ac:dyDescent="0.25">
      <c r="A475" s="245" t="s">
        <v>1188</v>
      </c>
      <c r="B475" s="245"/>
      <c r="C475" s="250" t="s">
        <v>526</v>
      </c>
      <c r="D475" s="178" t="s">
        <v>60</v>
      </c>
      <c r="E475" s="178">
        <v>1207</v>
      </c>
      <c r="F475" s="484">
        <v>138.9</v>
      </c>
      <c r="G475" s="491">
        <v>0</v>
      </c>
      <c r="H475" s="464">
        <f t="shared" si="39"/>
        <v>167652.29999999999</v>
      </c>
      <c r="I475" s="464">
        <f t="shared" si="37"/>
        <v>0</v>
      </c>
      <c r="J475" s="464">
        <f t="shared" si="36"/>
        <v>167652.29999999999</v>
      </c>
      <c r="K475" s="299" t="s">
        <v>527</v>
      </c>
      <c r="L475" s="179"/>
    </row>
    <row r="476" spans="1:33" s="180" customFormat="1" hidden="1" outlineLevel="1" x14ac:dyDescent="0.25">
      <c r="A476" s="245" t="s">
        <v>1189</v>
      </c>
      <c r="B476" s="245" t="s">
        <v>20</v>
      </c>
      <c r="C476" s="435" t="s">
        <v>241</v>
      </c>
      <c r="D476" s="247" t="s">
        <v>89</v>
      </c>
      <c r="E476" s="405">
        <v>2103</v>
      </c>
      <c r="F476" s="461"/>
      <c r="G476" s="491">
        <v>405</v>
      </c>
      <c r="H476" s="464">
        <f t="shared" si="39"/>
        <v>0</v>
      </c>
      <c r="I476" s="464">
        <f t="shared" si="37"/>
        <v>851715</v>
      </c>
      <c r="J476" s="464">
        <f t="shared" si="36"/>
        <v>851715</v>
      </c>
      <c r="K476" s="297"/>
      <c r="L476" s="179"/>
    </row>
    <row r="477" spans="1:33" s="180" customFormat="1" hidden="1" outlineLevel="2" x14ac:dyDescent="0.25">
      <c r="A477" s="245" t="s">
        <v>1190</v>
      </c>
      <c r="B477" s="245"/>
      <c r="C477" s="250" t="s">
        <v>529</v>
      </c>
      <c r="D477" s="178" t="s">
        <v>89</v>
      </c>
      <c r="E477" s="178">
        <v>2313.3000000000002</v>
      </c>
      <c r="F477" s="484">
        <v>168.98</v>
      </c>
      <c r="G477" s="491">
        <v>0</v>
      </c>
      <c r="H477" s="464">
        <f t="shared" si="39"/>
        <v>390901.43</v>
      </c>
      <c r="I477" s="464">
        <f t="shared" si="37"/>
        <v>0</v>
      </c>
      <c r="J477" s="464">
        <f t="shared" si="36"/>
        <v>390901.43</v>
      </c>
      <c r="K477" s="299" t="s">
        <v>530</v>
      </c>
      <c r="L477" s="179"/>
    </row>
    <row r="478" spans="1:33" s="180" customFormat="1" hidden="1" outlineLevel="1" x14ac:dyDescent="0.25">
      <c r="A478" s="245" t="s">
        <v>1191</v>
      </c>
      <c r="B478" s="245" t="s">
        <v>308</v>
      </c>
      <c r="C478" s="246" t="s">
        <v>531</v>
      </c>
      <c r="D478" s="247" t="s">
        <v>60</v>
      </c>
      <c r="E478" s="247" t="str">
        <f>E479</f>
        <v>226</v>
      </c>
      <c r="F478" s="461"/>
      <c r="G478" s="491">
        <v>360</v>
      </c>
      <c r="H478" s="464">
        <f t="shared" si="39"/>
        <v>0</v>
      </c>
      <c r="I478" s="464">
        <f t="shared" si="37"/>
        <v>81360</v>
      </c>
      <c r="J478" s="464">
        <f t="shared" si="36"/>
        <v>81360</v>
      </c>
      <c r="K478" s="297"/>
      <c r="L478" s="179"/>
    </row>
    <row r="479" spans="1:33" s="252" customFormat="1" hidden="1" outlineLevel="2" x14ac:dyDescent="0.25">
      <c r="A479" s="245" t="s">
        <v>1192</v>
      </c>
      <c r="B479" s="249"/>
      <c r="C479" s="250" t="s">
        <v>533</v>
      </c>
      <c r="D479" s="178" t="s">
        <v>60</v>
      </c>
      <c r="E479" s="178" t="s">
        <v>532</v>
      </c>
      <c r="F479" s="484">
        <v>2033.11</v>
      </c>
      <c r="G479" s="491">
        <v>0</v>
      </c>
      <c r="H479" s="464">
        <f t="shared" si="39"/>
        <v>459482.86</v>
      </c>
      <c r="I479" s="464">
        <f t="shared" si="37"/>
        <v>0</v>
      </c>
      <c r="J479" s="464">
        <f t="shared" si="36"/>
        <v>459482.86</v>
      </c>
      <c r="K479" s="299"/>
      <c r="L479" s="193"/>
    </row>
    <row r="480" spans="1:33" s="180" customFormat="1" ht="22.5" hidden="1" customHeight="1" outlineLevel="1" x14ac:dyDescent="0.25">
      <c r="A480" s="245" t="s">
        <v>1193</v>
      </c>
      <c r="B480" s="245" t="s">
        <v>311</v>
      </c>
      <c r="C480" s="435" t="s">
        <v>681</v>
      </c>
      <c r="D480" s="247" t="s">
        <v>60</v>
      </c>
      <c r="E480" s="247">
        <f>E481</f>
        <v>82</v>
      </c>
      <c r="F480" s="484"/>
      <c r="G480" s="491">
        <v>330</v>
      </c>
      <c r="H480" s="464">
        <f t="shared" si="39"/>
        <v>0</v>
      </c>
      <c r="I480" s="464">
        <f t="shared" si="37"/>
        <v>27060</v>
      </c>
      <c r="J480" s="464">
        <f t="shared" si="36"/>
        <v>27060</v>
      </c>
      <c r="K480" s="297" t="s">
        <v>538</v>
      </c>
      <c r="L480" s="179"/>
    </row>
    <row r="481" spans="1:33" s="180" customFormat="1" hidden="1" outlineLevel="2" x14ac:dyDescent="0.25">
      <c r="A481" s="245" t="s">
        <v>1194</v>
      </c>
      <c r="B481" s="245"/>
      <c r="C481" s="250" t="s">
        <v>540</v>
      </c>
      <c r="D481" s="178" t="s">
        <v>60</v>
      </c>
      <c r="E481" s="178">
        <v>82</v>
      </c>
      <c r="F481" s="461">
        <v>328</v>
      </c>
      <c r="G481" s="491">
        <v>0</v>
      </c>
      <c r="H481" s="464">
        <f t="shared" si="39"/>
        <v>26896</v>
      </c>
      <c r="I481" s="464">
        <f t="shared" si="37"/>
        <v>0</v>
      </c>
      <c r="J481" s="464">
        <f t="shared" si="36"/>
        <v>26896</v>
      </c>
      <c r="K481" s="297" t="s">
        <v>542</v>
      </c>
      <c r="L481" s="179"/>
    </row>
    <row r="482" spans="1:33" s="180" customFormat="1" ht="25.5" hidden="1" outlineLevel="1" x14ac:dyDescent="0.25">
      <c r="A482" s="245" t="s">
        <v>1195</v>
      </c>
      <c r="B482" s="245" t="s">
        <v>315</v>
      </c>
      <c r="C482" s="435" t="s">
        <v>546</v>
      </c>
      <c r="D482" s="575" t="s">
        <v>60</v>
      </c>
      <c r="E482" s="247">
        <f>E484</f>
        <v>80</v>
      </c>
      <c r="F482" s="461"/>
      <c r="G482" s="521">
        <v>435</v>
      </c>
      <c r="H482" s="464">
        <f t="shared" si="39"/>
        <v>0</v>
      </c>
      <c r="I482" s="464">
        <f t="shared" si="37"/>
        <v>34800</v>
      </c>
      <c r="J482" s="464">
        <f t="shared" si="36"/>
        <v>34800</v>
      </c>
      <c r="K482" s="297"/>
      <c r="L482" s="179"/>
    </row>
    <row r="483" spans="1:33" s="252" customFormat="1" hidden="1" outlineLevel="2" x14ac:dyDescent="0.25">
      <c r="A483" s="245" t="s">
        <v>1196</v>
      </c>
      <c r="B483" s="249"/>
      <c r="C483" s="250" t="s">
        <v>547</v>
      </c>
      <c r="D483" s="178" t="s">
        <v>92</v>
      </c>
      <c r="E483" s="178" t="s">
        <v>541</v>
      </c>
      <c r="F483" s="484">
        <v>2213.33</v>
      </c>
      <c r="G483" s="491">
        <v>0</v>
      </c>
      <c r="H483" s="464">
        <f t="shared" si="39"/>
        <v>177066.4</v>
      </c>
      <c r="I483" s="464">
        <v>0</v>
      </c>
      <c r="J483" s="464">
        <f t="shared" si="36"/>
        <v>177066.4</v>
      </c>
      <c r="K483" s="299" t="s">
        <v>548</v>
      </c>
      <c r="L483" s="193"/>
    </row>
    <row r="484" spans="1:33" s="252" customFormat="1" hidden="1" outlineLevel="2" x14ac:dyDescent="0.25">
      <c r="A484" s="245" t="s">
        <v>1197</v>
      </c>
      <c r="B484" s="249"/>
      <c r="C484" s="250" t="s">
        <v>549</v>
      </c>
      <c r="D484" s="178" t="s">
        <v>60</v>
      </c>
      <c r="E484" s="178">
        <v>80</v>
      </c>
      <c r="F484" s="484">
        <v>1563.33</v>
      </c>
      <c r="G484" s="491">
        <v>0</v>
      </c>
      <c r="H484" s="464">
        <f t="shared" si="39"/>
        <v>125066.4</v>
      </c>
      <c r="I484" s="464">
        <v>0</v>
      </c>
      <c r="J484" s="464">
        <f t="shared" si="36"/>
        <v>125066.4</v>
      </c>
      <c r="K484" s="299" t="s">
        <v>550</v>
      </c>
      <c r="L484" s="193"/>
    </row>
    <row r="485" spans="1:33" s="180" customFormat="1" hidden="1" outlineLevel="1" collapsed="1" x14ac:dyDescent="0.25">
      <c r="A485" s="245" t="s">
        <v>1198</v>
      </c>
      <c r="B485" s="245" t="s">
        <v>319</v>
      </c>
      <c r="C485" s="246" t="s">
        <v>558</v>
      </c>
      <c r="D485" s="247" t="s">
        <v>54</v>
      </c>
      <c r="E485" s="247" t="s">
        <v>7</v>
      </c>
      <c r="F485" s="461">
        <v>80920</v>
      </c>
      <c r="G485" s="491">
        <v>0</v>
      </c>
      <c r="H485" s="464">
        <f t="shared" si="39"/>
        <v>80920</v>
      </c>
      <c r="I485" s="464">
        <v>0</v>
      </c>
      <c r="J485" s="464">
        <f t="shared" si="36"/>
        <v>80920</v>
      </c>
      <c r="K485" s="297" t="s">
        <v>559</v>
      </c>
      <c r="L485" s="179"/>
    </row>
    <row r="486" spans="1:33" s="63" customFormat="1" ht="21" customHeight="1" collapsed="1" x14ac:dyDescent="0.25">
      <c r="A486" s="245" t="s">
        <v>1199</v>
      </c>
      <c r="B486" s="379" t="s">
        <v>98</v>
      </c>
      <c r="C486" s="380" t="s">
        <v>26</v>
      </c>
      <c r="D486" s="385" t="s">
        <v>0</v>
      </c>
      <c r="E486" s="385">
        <f>E487</f>
        <v>2586</v>
      </c>
      <c r="F486" s="445"/>
      <c r="G486" s="504">
        <v>1900</v>
      </c>
      <c r="H486" s="445"/>
      <c r="I486" s="445">
        <f t="shared" si="37"/>
        <v>4913400</v>
      </c>
      <c r="J486" s="445">
        <f t="shared" si="36"/>
        <v>4913400</v>
      </c>
      <c r="K486" s="382"/>
      <c r="L486" s="65"/>
      <c r="M486" s="338"/>
      <c r="N486" s="338"/>
      <c r="O486" s="338"/>
      <c r="P486" s="338"/>
      <c r="Q486" s="338"/>
      <c r="R486" s="338"/>
      <c r="S486" s="338"/>
      <c r="T486" s="338"/>
      <c r="U486" s="338"/>
      <c r="V486" s="338"/>
      <c r="W486" s="338"/>
      <c r="X486" s="338"/>
      <c r="Y486" s="338"/>
      <c r="Z486" s="338"/>
      <c r="AA486" s="338"/>
      <c r="AB486" s="338"/>
      <c r="AC486" s="338"/>
      <c r="AD486" s="338"/>
      <c r="AE486" s="338"/>
      <c r="AF486" s="338"/>
      <c r="AG486" s="338"/>
    </row>
    <row r="487" spans="1:33" s="359" customFormat="1" ht="13.5" hidden="1" outlineLevel="1" x14ac:dyDescent="0.25">
      <c r="A487" s="245" t="s">
        <v>1200</v>
      </c>
      <c r="B487" s="249"/>
      <c r="C487" s="565" t="s">
        <v>116</v>
      </c>
      <c r="D487" s="177" t="s">
        <v>0</v>
      </c>
      <c r="E487" s="183">
        <v>2586</v>
      </c>
      <c r="F487" s="464">
        <v>350</v>
      </c>
      <c r="G487" s="491">
        <v>0</v>
      </c>
      <c r="H487" s="464">
        <f t="shared" ref="H487" si="40">F487*E487</f>
        <v>905100</v>
      </c>
      <c r="I487" s="464">
        <v>0</v>
      </c>
      <c r="J487" s="464">
        <f t="shared" si="36"/>
        <v>905100</v>
      </c>
      <c r="K487" s="299" t="s">
        <v>682</v>
      </c>
      <c r="L487" s="576"/>
    </row>
    <row r="488" spans="1:33" x14ac:dyDescent="0.25">
      <c r="A488" s="245" t="s">
        <v>1201</v>
      </c>
      <c r="B488" s="397" t="s">
        <v>46</v>
      </c>
      <c r="C488" s="398" t="s">
        <v>703</v>
      </c>
      <c r="D488" s="401" t="s">
        <v>89</v>
      </c>
      <c r="E488" s="402">
        <f>(2.65*1.75*2)+(1.55*1.85*2)+(1.85*1.55)+(1.85*2.65)</f>
        <v>22.78</v>
      </c>
      <c r="F488" s="489">
        <v>4115</v>
      </c>
      <c r="G488" s="512">
        <v>3500</v>
      </c>
      <c r="H488" s="489"/>
      <c r="I488" s="458">
        <f t="shared" si="37"/>
        <v>79730</v>
      </c>
      <c r="J488" s="458">
        <f t="shared" si="36"/>
        <v>79730</v>
      </c>
      <c r="K488" s="400"/>
      <c r="L488" s="14"/>
    </row>
    <row r="489" spans="1:33" s="180" customFormat="1" x14ac:dyDescent="0.25">
      <c r="A489" s="245"/>
      <c r="B489" s="245"/>
      <c r="C489" s="246"/>
      <c r="D489" s="247"/>
      <c r="E489" s="247"/>
      <c r="F489" s="248"/>
      <c r="G489" s="513"/>
      <c r="H489" s="248"/>
      <c r="I489" s="248"/>
      <c r="J489" s="461"/>
      <c r="K489" s="297"/>
      <c r="L489" s="179"/>
    </row>
    <row r="490" spans="1:33" s="180" customFormat="1" ht="19.5" customHeight="1" x14ac:dyDescent="0.25">
      <c r="A490" s="449"/>
      <c r="B490" s="449"/>
      <c r="C490" s="450" t="s">
        <v>1202</v>
      </c>
      <c r="D490" s="451"/>
      <c r="E490" s="451"/>
      <c r="F490" s="452"/>
      <c r="G490" s="514"/>
      <c r="H490" s="452"/>
      <c r="I490" s="452"/>
      <c r="J490" s="462">
        <f>SUM(J23:J489)</f>
        <v>316969027.27999997</v>
      </c>
      <c r="K490" s="453"/>
      <c r="L490" s="179"/>
    </row>
    <row r="491" spans="1:33" s="180" customFormat="1" ht="15.75" x14ac:dyDescent="0.25">
      <c r="A491" s="447"/>
      <c r="B491" s="447"/>
      <c r="C491" s="130" t="s">
        <v>1203</v>
      </c>
      <c r="D491" s="138"/>
      <c r="E491" s="138"/>
      <c r="F491" s="448"/>
      <c r="G491" s="515"/>
      <c r="H491" s="448"/>
      <c r="I491" s="448"/>
      <c r="J491" s="463">
        <f>J490*20/120</f>
        <v>52828171.210000001</v>
      </c>
      <c r="K491" s="301"/>
      <c r="L491" s="179"/>
    </row>
    <row r="496" spans="1:33" x14ac:dyDescent="0.25">
      <c r="J496" s="455" t="e">
        <f>#REF!-J490</f>
        <v>#REF!</v>
      </c>
    </row>
  </sheetData>
  <autoFilter ref="A21:L488" xr:uid="{CC71D7CE-2458-4F43-90C6-68320919D74F}"/>
  <mergeCells count="19">
    <mergeCell ref="L178:L181"/>
    <mergeCell ref="B1:K1"/>
    <mergeCell ref="C2:K2"/>
    <mergeCell ref="B3:K3"/>
    <mergeCell ref="B5:K5"/>
    <mergeCell ref="L27:L35"/>
    <mergeCell ref="L47:L50"/>
    <mergeCell ref="L66:L71"/>
    <mergeCell ref="L75:L76"/>
    <mergeCell ref="L77:L82"/>
    <mergeCell ref="L143:L145"/>
    <mergeCell ref="L146:L148"/>
    <mergeCell ref="L359:L367"/>
    <mergeCell ref="L432:L444"/>
    <mergeCell ref="L238:L250"/>
    <mergeCell ref="L263:L274"/>
    <mergeCell ref="L282:L288"/>
    <mergeCell ref="L310:L312"/>
    <mergeCell ref="L347:L357"/>
  </mergeCells>
  <pageMargins left="0.39370078740157483" right="0.19685039370078741" top="0.39370078740157483" bottom="0.19685039370078741" header="0.51181102362204722" footer="0.15748031496062992"/>
  <pageSetup paperSize="8" scale="73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9731-A8FE-4E9E-A2C6-8AB0B2133C6F}">
  <sheetPr>
    <pageSetUpPr fitToPage="1"/>
  </sheetPr>
  <dimension ref="A1:N535"/>
  <sheetViews>
    <sheetView zoomScale="85" zoomScaleNormal="85" workbookViewId="0">
      <selection activeCell="B74" sqref="B74"/>
    </sheetView>
  </sheetViews>
  <sheetFormatPr defaultRowHeight="12.75" x14ac:dyDescent="0.25"/>
  <cols>
    <col min="1" max="1" width="5.7109375" style="42" customWidth="1"/>
    <col min="2" max="2" width="85.7109375" style="33" customWidth="1"/>
    <col min="3" max="3" width="8.7109375" style="43" customWidth="1"/>
    <col min="4" max="4" width="13" style="44" bestFit="1" customWidth="1"/>
    <col min="5" max="6" width="13.7109375" style="45" customWidth="1"/>
    <col min="7" max="9" width="14.7109375" style="45" customWidth="1"/>
    <col min="10" max="10" width="40" style="33" customWidth="1"/>
    <col min="11" max="11" width="25.42578125" style="33" customWidth="1"/>
    <col min="12" max="12" width="10" style="33" bestFit="1" customWidth="1"/>
    <col min="13" max="16384" width="9.140625" style="33"/>
  </cols>
  <sheetData>
    <row r="1" spans="1:10" ht="20.25" x14ac:dyDescent="0.25">
      <c r="A1" s="759" t="s">
        <v>119</v>
      </c>
      <c r="B1" s="759"/>
      <c r="C1" s="759"/>
      <c r="D1" s="759"/>
      <c r="E1" s="759"/>
      <c r="F1" s="759"/>
      <c r="G1" s="759"/>
      <c r="H1" s="759"/>
      <c r="I1" s="759"/>
      <c r="J1" s="759"/>
    </row>
    <row r="2" spans="1:10" ht="33.75" customHeight="1" x14ac:dyDescent="0.25">
      <c r="A2" s="761" t="s">
        <v>574</v>
      </c>
      <c r="B2" s="761"/>
      <c r="C2" s="761"/>
      <c r="D2" s="761"/>
      <c r="E2" s="761"/>
      <c r="F2" s="761"/>
      <c r="G2" s="761"/>
      <c r="H2" s="761"/>
      <c r="I2" s="761"/>
      <c r="J2" s="761"/>
    </row>
    <row r="3" spans="1:10" x14ac:dyDescent="0.25">
      <c r="A3" s="34"/>
      <c r="B3" s="34"/>
      <c r="C3" s="34"/>
      <c r="D3" s="35"/>
      <c r="E3" s="36"/>
      <c r="F3" s="36"/>
      <c r="G3" s="36"/>
      <c r="H3" s="36"/>
      <c r="I3" s="36"/>
      <c r="J3" s="34"/>
    </row>
    <row r="4" spans="1:10" ht="15.75" x14ac:dyDescent="0.25">
      <c r="A4" s="761" t="s">
        <v>120</v>
      </c>
      <c r="B4" s="761"/>
      <c r="C4" s="761"/>
      <c r="D4" s="761"/>
      <c r="E4" s="761"/>
      <c r="F4" s="761"/>
      <c r="G4" s="761"/>
      <c r="H4" s="761"/>
      <c r="I4" s="761"/>
      <c r="J4" s="761"/>
    </row>
    <row r="5" spans="1:10" x14ac:dyDescent="0.25">
      <c r="A5" s="34"/>
      <c r="B5" s="34"/>
      <c r="C5" s="34"/>
      <c r="D5" s="35"/>
      <c r="E5" s="36"/>
      <c r="F5" s="36"/>
      <c r="G5" s="36"/>
      <c r="H5" s="36"/>
      <c r="I5" s="36"/>
      <c r="J5" s="34"/>
    </row>
    <row r="6" spans="1:10" s="27" customFormat="1" x14ac:dyDescent="0.25">
      <c r="A6" s="37"/>
      <c r="B6" s="38" t="s">
        <v>560</v>
      </c>
      <c r="C6" s="37"/>
      <c r="D6" s="37"/>
      <c r="E6" s="37"/>
      <c r="F6" s="37"/>
      <c r="G6" s="37"/>
      <c r="H6" s="37"/>
      <c r="I6" s="37"/>
      <c r="J6" s="37"/>
    </row>
    <row r="7" spans="1:10" s="27" customFormat="1" x14ac:dyDescent="0.25">
      <c r="A7" s="39"/>
      <c r="B7" s="40" t="s">
        <v>561</v>
      </c>
      <c r="C7" s="40"/>
      <c r="D7" s="40"/>
      <c r="E7" s="40"/>
      <c r="F7" s="41"/>
      <c r="G7" s="41"/>
      <c r="H7" s="39"/>
      <c r="I7" s="39"/>
      <c r="J7" s="39"/>
    </row>
    <row r="8" spans="1:10" s="27" customFormat="1" x14ac:dyDescent="0.25">
      <c r="A8" s="39"/>
      <c r="B8" s="40" t="s">
        <v>562</v>
      </c>
      <c r="C8" s="40"/>
      <c r="D8" s="40"/>
      <c r="E8" s="40"/>
      <c r="F8" s="41"/>
      <c r="G8" s="41"/>
      <c r="H8" s="39"/>
      <c r="I8" s="39"/>
      <c r="J8" s="39"/>
    </row>
    <row r="9" spans="1:10" s="27" customFormat="1" x14ac:dyDescent="0.25">
      <c r="A9" s="39"/>
      <c r="B9" s="40" t="s">
        <v>563</v>
      </c>
      <c r="C9" s="40"/>
      <c r="D9" s="40"/>
      <c r="E9" s="40"/>
      <c r="F9" s="41"/>
      <c r="G9" s="41"/>
      <c r="H9" s="39"/>
      <c r="I9" s="39"/>
      <c r="J9" s="39"/>
    </row>
    <row r="10" spans="1:10" s="27" customFormat="1" x14ac:dyDescent="0.25">
      <c r="A10" s="39"/>
      <c r="B10" s="40" t="s">
        <v>564</v>
      </c>
      <c r="C10" s="40"/>
      <c r="D10" s="40"/>
      <c r="E10" s="40"/>
      <c r="F10" s="40"/>
      <c r="G10" s="41"/>
      <c r="H10" s="39"/>
      <c r="I10" s="39"/>
      <c r="J10" s="39"/>
    </row>
    <row r="11" spans="1:10" s="27" customFormat="1" x14ac:dyDescent="0.25">
      <c r="A11" s="39"/>
      <c r="B11" s="40" t="s">
        <v>565</v>
      </c>
      <c r="C11" s="40"/>
      <c r="D11" s="40"/>
      <c r="E11" s="40"/>
      <c r="F11" s="40"/>
      <c r="G11" s="41"/>
      <c r="H11" s="39"/>
      <c r="I11" s="39"/>
      <c r="J11" s="39"/>
    </row>
    <row r="12" spans="1:10" s="27" customFormat="1" x14ac:dyDescent="0.25">
      <c r="A12" s="39"/>
      <c r="B12" s="40" t="s">
        <v>566</v>
      </c>
      <c r="C12" s="40"/>
      <c r="D12" s="40"/>
      <c r="E12" s="40"/>
      <c r="F12" s="41"/>
      <c r="G12" s="41"/>
      <c r="H12" s="39"/>
      <c r="I12" s="39"/>
      <c r="J12" s="39"/>
    </row>
    <row r="13" spans="1:10" s="27" customFormat="1" x14ac:dyDescent="0.25">
      <c r="A13" s="39"/>
      <c r="B13" s="40" t="s">
        <v>567</v>
      </c>
      <c r="C13" s="40"/>
      <c r="D13" s="40"/>
      <c r="E13" s="40"/>
      <c r="F13" s="40"/>
      <c r="G13" s="41"/>
      <c r="H13" s="39"/>
      <c r="I13" s="39"/>
      <c r="J13" s="39"/>
    </row>
    <row r="14" spans="1:10" s="27" customFormat="1" x14ac:dyDescent="0.25">
      <c r="A14" s="39"/>
      <c r="B14" s="40" t="s">
        <v>568</v>
      </c>
      <c r="C14" s="40"/>
      <c r="D14" s="40"/>
      <c r="E14" s="40"/>
      <c r="F14" s="40"/>
      <c r="G14" s="41"/>
      <c r="H14" s="39"/>
      <c r="I14" s="39"/>
      <c r="J14" s="39"/>
    </row>
    <row r="15" spans="1:10" s="27" customFormat="1" x14ac:dyDescent="0.25">
      <c r="A15" s="39"/>
      <c r="B15" s="40" t="s">
        <v>569</v>
      </c>
      <c r="C15" s="40"/>
      <c r="D15" s="40"/>
      <c r="E15" s="40"/>
      <c r="F15" s="40"/>
      <c r="G15" s="41"/>
      <c r="H15" s="39"/>
      <c r="I15" s="39"/>
      <c r="J15" s="39"/>
    </row>
    <row r="16" spans="1:10" s="27" customFormat="1" x14ac:dyDescent="0.25">
      <c r="A16" s="39"/>
      <c r="B16" s="40" t="s">
        <v>570</v>
      </c>
      <c r="C16" s="40"/>
      <c r="D16" s="40"/>
      <c r="E16" s="40"/>
      <c r="F16" s="40"/>
      <c r="G16" s="40"/>
      <c r="H16" s="39"/>
      <c r="I16" s="39"/>
      <c r="J16" s="39"/>
    </row>
    <row r="17" spans="1:11" s="27" customFormat="1" x14ac:dyDescent="0.25">
      <c r="A17" s="39"/>
      <c r="B17" s="40" t="s">
        <v>571</v>
      </c>
      <c r="C17" s="40"/>
      <c r="D17" s="40"/>
      <c r="E17" s="40"/>
      <c r="F17" s="40"/>
      <c r="G17" s="41"/>
      <c r="H17" s="39"/>
      <c r="I17" s="39"/>
      <c r="J17" s="39"/>
    </row>
    <row r="18" spans="1:11" x14ac:dyDescent="0.25">
      <c r="B18" s="33" t="s">
        <v>572</v>
      </c>
    </row>
    <row r="20" spans="1:11" s="49" customFormat="1" ht="51" x14ac:dyDescent="0.25">
      <c r="A20" s="46" t="s">
        <v>1</v>
      </c>
      <c r="B20" s="28" t="s">
        <v>2</v>
      </c>
      <c r="C20" s="28" t="s">
        <v>3</v>
      </c>
      <c r="D20" s="47" t="s">
        <v>4</v>
      </c>
      <c r="E20" s="48" t="s">
        <v>11</v>
      </c>
      <c r="F20" s="48" t="s">
        <v>12</v>
      </c>
      <c r="G20" s="48" t="s">
        <v>8</v>
      </c>
      <c r="H20" s="48" t="s">
        <v>9</v>
      </c>
      <c r="I20" s="48" t="s">
        <v>10</v>
      </c>
      <c r="J20" s="202" t="s">
        <v>5</v>
      </c>
      <c r="K20" s="67"/>
    </row>
    <row r="21" spans="1:11" s="49" customFormat="1" x14ac:dyDescent="0.25">
      <c r="A21" s="114"/>
      <c r="B21" s="115" t="s">
        <v>207</v>
      </c>
      <c r="C21" s="116"/>
      <c r="D21" s="117"/>
      <c r="E21" s="118"/>
      <c r="F21" s="118"/>
      <c r="G21" s="118"/>
      <c r="H21" s="118"/>
      <c r="I21" s="118"/>
      <c r="J21" s="203"/>
      <c r="K21" s="67"/>
    </row>
    <row r="22" spans="1:11" s="34" customFormat="1" x14ac:dyDescent="0.25">
      <c r="A22" s="120" t="s">
        <v>7</v>
      </c>
      <c r="B22" s="119" t="s">
        <v>208</v>
      </c>
      <c r="C22" s="121"/>
      <c r="D22" s="121"/>
      <c r="E22" s="122"/>
      <c r="F22" s="122"/>
      <c r="G22" s="123"/>
      <c r="H22" s="123"/>
      <c r="I22" s="123"/>
      <c r="J22" s="204"/>
      <c r="K22" s="28"/>
    </row>
    <row r="23" spans="1:11" s="34" customFormat="1" x14ac:dyDescent="0.25">
      <c r="A23" s="10" t="s">
        <v>27</v>
      </c>
      <c r="B23" s="11" t="s">
        <v>21</v>
      </c>
      <c r="C23" s="12" t="s">
        <v>0</v>
      </c>
      <c r="D23" s="6">
        <v>6330</v>
      </c>
      <c r="E23" s="13"/>
      <c r="F23" s="13"/>
      <c r="G23" s="13"/>
      <c r="H23" s="13"/>
      <c r="I23" s="13"/>
      <c r="J23" s="205"/>
      <c r="K23" s="28"/>
    </row>
    <row r="24" spans="1:11" s="34" customFormat="1" x14ac:dyDescent="0.25">
      <c r="A24" s="120" t="s">
        <v>6</v>
      </c>
      <c r="B24" s="119" t="s">
        <v>206</v>
      </c>
      <c r="C24" s="124"/>
      <c r="D24" s="125"/>
      <c r="E24" s="126"/>
      <c r="F24" s="126"/>
      <c r="G24" s="126"/>
      <c r="H24" s="126"/>
      <c r="I24" s="126"/>
      <c r="J24" s="206"/>
      <c r="K24" s="28"/>
    </row>
    <row r="25" spans="1:11" s="34" customFormat="1" x14ac:dyDescent="0.25">
      <c r="A25" s="10" t="s">
        <v>16</v>
      </c>
      <c r="B25" s="11" t="s">
        <v>125</v>
      </c>
      <c r="C25" s="12" t="s">
        <v>126</v>
      </c>
      <c r="D25" s="12" t="s">
        <v>127</v>
      </c>
      <c r="E25" s="13"/>
      <c r="F25" s="13"/>
      <c r="G25" s="13"/>
      <c r="H25" s="13"/>
      <c r="I25" s="13"/>
      <c r="J25" s="207"/>
      <c r="K25" s="28"/>
    </row>
    <row r="26" spans="1:11" s="55" customFormat="1" ht="12.75" customHeight="1" x14ac:dyDescent="0.25">
      <c r="A26" s="15"/>
      <c r="B26" s="51" t="s">
        <v>128</v>
      </c>
      <c r="C26" s="17" t="s">
        <v>45</v>
      </c>
      <c r="D26" s="52" t="s">
        <v>7</v>
      </c>
      <c r="E26" s="824" t="s">
        <v>620</v>
      </c>
      <c r="F26" s="825"/>
      <c r="G26" s="825"/>
      <c r="H26" s="825"/>
      <c r="I26" s="826"/>
      <c r="J26" s="208"/>
      <c r="K26" s="812" t="s">
        <v>624</v>
      </c>
    </row>
    <row r="27" spans="1:11" s="27" customFormat="1" ht="25.5" x14ac:dyDescent="0.25">
      <c r="A27" s="10" t="s">
        <v>17</v>
      </c>
      <c r="B27" s="11" t="s">
        <v>129</v>
      </c>
      <c r="C27" s="12" t="s">
        <v>45</v>
      </c>
      <c r="D27" s="12">
        <v>18</v>
      </c>
      <c r="E27" s="824" t="s">
        <v>620</v>
      </c>
      <c r="F27" s="825"/>
      <c r="G27" s="825"/>
      <c r="H27" s="825"/>
      <c r="I27" s="826"/>
      <c r="J27" s="207"/>
      <c r="K27" s="813"/>
    </row>
    <row r="28" spans="1:11" s="27" customFormat="1" ht="25.5" x14ac:dyDescent="0.25">
      <c r="A28" s="10" t="s">
        <v>18</v>
      </c>
      <c r="B28" s="11" t="s">
        <v>130</v>
      </c>
      <c r="C28" s="12" t="s">
        <v>45</v>
      </c>
      <c r="D28" s="12">
        <v>55</v>
      </c>
      <c r="E28" s="824" t="s">
        <v>620</v>
      </c>
      <c r="F28" s="825"/>
      <c r="G28" s="825"/>
      <c r="H28" s="825"/>
      <c r="I28" s="826"/>
      <c r="J28" s="207"/>
      <c r="K28" s="813"/>
    </row>
    <row r="29" spans="1:11" s="27" customFormat="1" ht="25.5" x14ac:dyDescent="0.25">
      <c r="A29" s="10" t="s">
        <v>19</v>
      </c>
      <c r="B29" s="11" t="s">
        <v>131</v>
      </c>
      <c r="C29" s="12" t="s">
        <v>45</v>
      </c>
      <c r="D29" s="12">
        <v>75</v>
      </c>
      <c r="E29" s="824" t="s">
        <v>620</v>
      </c>
      <c r="F29" s="825"/>
      <c r="G29" s="825"/>
      <c r="H29" s="825"/>
      <c r="I29" s="826"/>
      <c r="J29" s="207"/>
      <c r="K29" s="813"/>
    </row>
    <row r="30" spans="1:11" s="27" customFormat="1" ht="49.5" customHeight="1" x14ac:dyDescent="0.25">
      <c r="A30" s="10" t="s">
        <v>20</v>
      </c>
      <c r="B30" s="11" t="s">
        <v>132</v>
      </c>
      <c r="C30" s="12" t="s">
        <v>45</v>
      </c>
      <c r="D30" s="12">
        <v>38</v>
      </c>
      <c r="E30" s="824" t="s">
        <v>620</v>
      </c>
      <c r="F30" s="825"/>
      <c r="G30" s="825"/>
      <c r="H30" s="825"/>
      <c r="I30" s="826"/>
      <c r="J30" s="827" t="s">
        <v>642</v>
      </c>
      <c r="K30" s="813"/>
    </row>
    <row r="31" spans="1:11" s="27" customFormat="1" x14ac:dyDescent="0.25">
      <c r="A31" s="10" t="s">
        <v>308</v>
      </c>
      <c r="B31" s="11" t="s">
        <v>133</v>
      </c>
      <c r="C31" s="12" t="s">
        <v>0</v>
      </c>
      <c r="D31" s="12" t="s">
        <v>134</v>
      </c>
      <c r="E31" s="13"/>
      <c r="F31" s="13"/>
      <c r="G31" s="13"/>
      <c r="H31" s="13"/>
      <c r="I31" s="13"/>
      <c r="J31" s="828"/>
      <c r="K31" s="813"/>
    </row>
    <row r="32" spans="1:11" s="55" customFormat="1" ht="25.5" x14ac:dyDescent="0.25">
      <c r="A32" s="15"/>
      <c r="B32" s="51" t="s">
        <v>135</v>
      </c>
      <c r="C32" s="52" t="s">
        <v>0</v>
      </c>
      <c r="D32" s="52">
        <f>D31*1.15</f>
        <v>39.445</v>
      </c>
      <c r="E32" s="53"/>
      <c r="F32" s="53"/>
      <c r="G32" s="53"/>
      <c r="H32" s="53"/>
      <c r="I32" s="53"/>
      <c r="J32" s="208" t="s">
        <v>136</v>
      </c>
      <c r="K32" s="813"/>
    </row>
    <row r="33" spans="1:14" x14ac:dyDescent="0.25">
      <c r="A33" s="10" t="s">
        <v>311</v>
      </c>
      <c r="B33" s="56" t="s">
        <v>138</v>
      </c>
      <c r="C33" s="57" t="s">
        <v>60</v>
      </c>
      <c r="D33" s="57" t="s">
        <v>139</v>
      </c>
      <c r="E33" s="824" t="s">
        <v>620</v>
      </c>
      <c r="F33" s="825"/>
      <c r="G33" s="825"/>
      <c r="H33" s="825"/>
      <c r="I33" s="826"/>
      <c r="J33" s="209"/>
      <c r="K33" s="813"/>
    </row>
    <row r="34" spans="1:14" x14ac:dyDescent="0.25">
      <c r="A34" s="10" t="s">
        <v>315</v>
      </c>
      <c r="B34" s="56" t="s">
        <v>63</v>
      </c>
      <c r="C34" s="57" t="s">
        <v>60</v>
      </c>
      <c r="D34" s="57" t="s">
        <v>141</v>
      </c>
      <c r="E34" s="58"/>
      <c r="F34" s="58"/>
      <c r="G34" s="58"/>
      <c r="H34" s="58"/>
      <c r="I34" s="58"/>
      <c r="J34" s="209"/>
      <c r="K34" s="811" t="s">
        <v>143</v>
      </c>
    </row>
    <row r="35" spans="1:14" s="55" customFormat="1" x14ac:dyDescent="0.25">
      <c r="A35" s="15"/>
      <c r="B35" s="51" t="s">
        <v>75</v>
      </c>
      <c r="C35" s="52" t="s">
        <v>76</v>
      </c>
      <c r="D35" s="52" t="s">
        <v>142</v>
      </c>
      <c r="E35" s="53"/>
      <c r="F35" s="53"/>
      <c r="G35" s="53"/>
      <c r="H35" s="53"/>
      <c r="I35" s="53"/>
      <c r="J35" s="208" t="s">
        <v>143</v>
      </c>
      <c r="K35" s="811"/>
    </row>
    <row r="36" spans="1:14" x14ac:dyDescent="0.25">
      <c r="A36" s="10" t="s">
        <v>319</v>
      </c>
      <c r="B36" s="56" t="s">
        <v>145</v>
      </c>
      <c r="C36" s="57" t="s">
        <v>60</v>
      </c>
      <c r="D36" s="57" t="s">
        <v>146</v>
      </c>
      <c r="E36" s="58"/>
      <c r="F36" s="58"/>
      <c r="G36" s="58"/>
      <c r="H36" s="58"/>
      <c r="I36" s="58"/>
      <c r="J36" s="209"/>
      <c r="K36" s="811"/>
    </row>
    <row r="37" spans="1:14" s="55" customFormat="1" x14ac:dyDescent="0.25">
      <c r="A37" s="15"/>
      <c r="B37" s="51" t="s">
        <v>147</v>
      </c>
      <c r="C37" s="52" t="s">
        <v>76</v>
      </c>
      <c r="D37" s="52" t="s">
        <v>148</v>
      </c>
      <c r="E37" s="53"/>
      <c r="F37" s="53"/>
      <c r="G37" s="53"/>
      <c r="H37" s="53"/>
      <c r="I37" s="53"/>
      <c r="J37" s="208" t="s">
        <v>143</v>
      </c>
      <c r="K37" s="811"/>
    </row>
    <row r="38" spans="1:14" ht="12.75" customHeight="1" x14ac:dyDescent="0.25">
      <c r="A38" s="10" t="s">
        <v>322</v>
      </c>
      <c r="B38" s="56" t="s">
        <v>150</v>
      </c>
      <c r="C38" s="57" t="s">
        <v>0</v>
      </c>
      <c r="D38" s="57" t="s">
        <v>67</v>
      </c>
      <c r="E38" s="58"/>
      <c r="F38" s="58"/>
      <c r="G38" s="58"/>
      <c r="H38" s="58"/>
      <c r="I38" s="58"/>
      <c r="J38" s="209"/>
      <c r="K38" s="814" t="s">
        <v>624</v>
      </c>
    </row>
    <row r="39" spans="1:14" s="55" customFormat="1" x14ac:dyDescent="0.25">
      <c r="A39" s="15"/>
      <c r="B39" s="51" t="s">
        <v>85</v>
      </c>
      <c r="C39" s="52" t="s">
        <v>0</v>
      </c>
      <c r="D39" s="52" t="s">
        <v>67</v>
      </c>
      <c r="E39" s="53"/>
      <c r="F39" s="53"/>
      <c r="G39" s="53"/>
      <c r="H39" s="53"/>
      <c r="I39" s="53"/>
      <c r="J39" s="208"/>
      <c r="K39" s="814"/>
    </row>
    <row r="40" spans="1:14" ht="25.5" x14ac:dyDescent="0.25">
      <c r="A40" s="198" t="s">
        <v>325</v>
      </c>
      <c r="B40" s="265" t="s">
        <v>152</v>
      </c>
      <c r="C40" s="12" t="s">
        <v>45</v>
      </c>
      <c r="D40" s="57" t="s">
        <v>46</v>
      </c>
      <c r="E40" s="842" t="s">
        <v>621</v>
      </c>
      <c r="F40" s="843"/>
      <c r="G40" s="843"/>
      <c r="H40" s="843"/>
      <c r="I40" s="844"/>
      <c r="J40" s="209"/>
      <c r="K40" s="814"/>
    </row>
    <row r="41" spans="1:14" s="55" customFormat="1" ht="25.5" x14ac:dyDescent="0.25">
      <c r="A41" s="272"/>
      <c r="B41" s="273" t="s">
        <v>153</v>
      </c>
      <c r="C41" s="17" t="s">
        <v>92</v>
      </c>
      <c r="D41" s="52">
        <f>163.02*4</f>
        <v>652.08000000000004</v>
      </c>
      <c r="E41" s="845"/>
      <c r="F41" s="846"/>
      <c r="G41" s="846"/>
      <c r="H41" s="846"/>
      <c r="I41" s="847"/>
      <c r="J41" s="208"/>
      <c r="K41" s="814"/>
      <c r="M41" s="795"/>
      <c r="N41" s="829"/>
    </row>
    <row r="42" spans="1:14" s="55" customFormat="1" x14ac:dyDescent="0.25">
      <c r="A42" s="272"/>
      <c r="B42" s="273" t="s">
        <v>154</v>
      </c>
      <c r="C42" s="17" t="s">
        <v>92</v>
      </c>
      <c r="D42" s="52">
        <f>(84.53+34.3+73.5+48.02)*4</f>
        <v>961.4</v>
      </c>
      <c r="E42" s="845"/>
      <c r="F42" s="846"/>
      <c r="G42" s="846"/>
      <c r="H42" s="846"/>
      <c r="I42" s="847"/>
      <c r="J42" s="208"/>
      <c r="K42" s="814"/>
      <c r="M42" s="795"/>
      <c r="N42" s="829"/>
    </row>
    <row r="43" spans="1:14" s="55" customFormat="1" x14ac:dyDescent="0.25">
      <c r="A43" s="272"/>
      <c r="B43" s="273" t="s">
        <v>155</v>
      </c>
      <c r="C43" s="17" t="s">
        <v>156</v>
      </c>
      <c r="D43" s="52" t="s">
        <v>157</v>
      </c>
      <c r="E43" s="845"/>
      <c r="F43" s="846"/>
      <c r="G43" s="846"/>
      <c r="H43" s="846"/>
      <c r="I43" s="847"/>
      <c r="J43" s="208"/>
      <c r="K43" s="814"/>
      <c r="M43" s="795"/>
      <c r="N43" s="829"/>
    </row>
    <row r="44" spans="1:14" s="55" customFormat="1" x14ac:dyDescent="0.25">
      <c r="A44" s="272"/>
      <c r="B44" s="273" t="s">
        <v>158</v>
      </c>
      <c r="C44" s="17" t="s">
        <v>92</v>
      </c>
      <c r="D44" s="52">
        <f>6.74*4</f>
        <v>26.96</v>
      </c>
      <c r="E44" s="845"/>
      <c r="F44" s="846"/>
      <c r="G44" s="846"/>
      <c r="H44" s="846"/>
      <c r="I44" s="847"/>
      <c r="J44" s="208"/>
      <c r="K44" s="814"/>
      <c r="M44" s="795"/>
      <c r="N44" s="829"/>
    </row>
    <row r="45" spans="1:14" s="55" customFormat="1" x14ac:dyDescent="0.25">
      <c r="A45" s="272"/>
      <c r="B45" s="273" t="s">
        <v>159</v>
      </c>
      <c r="C45" s="17" t="s">
        <v>92</v>
      </c>
      <c r="D45" s="52">
        <f>14.82*4</f>
        <v>59.28</v>
      </c>
      <c r="E45" s="848"/>
      <c r="F45" s="849"/>
      <c r="G45" s="849"/>
      <c r="H45" s="849"/>
      <c r="I45" s="850"/>
      <c r="J45" s="208"/>
      <c r="K45" s="814"/>
      <c r="M45" s="795"/>
      <c r="N45" s="829"/>
    </row>
    <row r="46" spans="1:14" x14ac:dyDescent="0.25">
      <c r="A46" s="10" t="s">
        <v>328</v>
      </c>
      <c r="B46" s="56" t="s">
        <v>161</v>
      </c>
      <c r="C46" s="12" t="s">
        <v>45</v>
      </c>
      <c r="D46" s="57" t="s">
        <v>46</v>
      </c>
      <c r="E46" s="824" t="s">
        <v>620</v>
      </c>
      <c r="F46" s="825"/>
      <c r="G46" s="825"/>
      <c r="H46" s="825"/>
      <c r="I46" s="826"/>
      <c r="J46" s="209"/>
      <c r="K46" s="814"/>
    </row>
    <row r="47" spans="1:14" s="55" customFormat="1" ht="25.5" x14ac:dyDescent="0.25">
      <c r="A47" s="15"/>
      <c r="B47" s="51" t="s">
        <v>162</v>
      </c>
      <c r="C47" s="52" t="s">
        <v>54</v>
      </c>
      <c r="D47" s="52" t="s">
        <v>46</v>
      </c>
      <c r="E47" s="824" t="s">
        <v>620</v>
      </c>
      <c r="F47" s="825"/>
      <c r="G47" s="825"/>
      <c r="H47" s="825"/>
      <c r="I47" s="826"/>
      <c r="J47" s="208"/>
      <c r="K47" s="814"/>
    </row>
    <row r="48" spans="1:14" x14ac:dyDescent="0.25">
      <c r="A48" s="10" t="s">
        <v>363</v>
      </c>
      <c r="B48" s="56" t="s">
        <v>164</v>
      </c>
      <c r="C48" s="57" t="s">
        <v>54</v>
      </c>
      <c r="D48" s="57" t="s">
        <v>7</v>
      </c>
      <c r="E48" s="824" t="s">
        <v>620</v>
      </c>
      <c r="F48" s="825"/>
      <c r="G48" s="825"/>
      <c r="H48" s="825"/>
      <c r="I48" s="826"/>
      <c r="J48" s="209"/>
      <c r="K48" s="814"/>
    </row>
    <row r="49" spans="1:11" x14ac:dyDescent="0.25">
      <c r="A49" s="10" t="s">
        <v>367</v>
      </c>
      <c r="B49" s="56" t="s">
        <v>166</v>
      </c>
      <c r="C49" s="57" t="s">
        <v>54</v>
      </c>
      <c r="D49" s="57" t="s">
        <v>7</v>
      </c>
      <c r="E49" s="58"/>
      <c r="F49" s="58"/>
      <c r="G49" s="58"/>
      <c r="H49" s="58"/>
      <c r="I49" s="58"/>
      <c r="J49" s="209"/>
      <c r="K49" s="814"/>
    </row>
    <row r="50" spans="1:11" x14ac:dyDescent="0.25">
      <c r="A50" s="10" t="s">
        <v>370</v>
      </c>
      <c r="B50" s="56" t="s">
        <v>168</v>
      </c>
      <c r="C50" s="12" t="s">
        <v>45</v>
      </c>
      <c r="D50" s="57" t="s">
        <v>6</v>
      </c>
      <c r="E50" s="58"/>
      <c r="F50" s="58"/>
      <c r="G50" s="58"/>
      <c r="H50" s="58"/>
      <c r="I50" s="58"/>
      <c r="J50" s="209"/>
      <c r="K50" s="811" t="s">
        <v>143</v>
      </c>
    </row>
    <row r="51" spans="1:11" s="55" customFormat="1" ht="25.5" x14ac:dyDescent="0.25">
      <c r="A51" s="15"/>
      <c r="B51" s="51" t="s">
        <v>169</v>
      </c>
      <c r="C51" s="17" t="s">
        <v>45</v>
      </c>
      <c r="D51" s="52" t="s">
        <v>6</v>
      </c>
      <c r="E51" s="53"/>
      <c r="F51" s="53"/>
      <c r="G51" s="53"/>
      <c r="H51" s="53"/>
      <c r="I51" s="53"/>
      <c r="J51" s="208"/>
      <c r="K51" s="811"/>
    </row>
    <row r="52" spans="1:11" x14ac:dyDescent="0.25">
      <c r="A52" s="10" t="s">
        <v>373</v>
      </c>
      <c r="B52" s="56" t="s">
        <v>171</v>
      </c>
      <c r="C52" s="12" t="s">
        <v>45</v>
      </c>
      <c r="D52" s="57" t="s">
        <v>46</v>
      </c>
      <c r="E52" s="58"/>
      <c r="F52" s="58"/>
      <c r="G52" s="58"/>
      <c r="H52" s="58"/>
      <c r="I52" s="58"/>
      <c r="J52" s="209"/>
      <c r="K52" s="811"/>
    </row>
    <row r="53" spans="1:11" s="55" customFormat="1" x14ac:dyDescent="0.25">
      <c r="A53" s="15"/>
      <c r="B53" s="51" t="s">
        <v>84</v>
      </c>
      <c r="C53" s="17" t="s">
        <v>45</v>
      </c>
      <c r="D53" s="52" t="s">
        <v>46</v>
      </c>
      <c r="E53" s="53"/>
      <c r="F53" s="53"/>
      <c r="G53" s="53"/>
      <c r="H53" s="53"/>
      <c r="I53" s="53"/>
      <c r="J53" s="208"/>
      <c r="K53" s="811"/>
    </row>
    <row r="54" spans="1:11" ht="25.5" x14ac:dyDescent="0.25">
      <c r="A54" s="198" t="s">
        <v>584</v>
      </c>
      <c r="B54" s="265" t="s">
        <v>173</v>
      </c>
      <c r="C54" s="12" t="s">
        <v>45</v>
      </c>
      <c r="D54" s="57" t="s">
        <v>174</v>
      </c>
      <c r="E54" s="842" t="s">
        <v>621</v>
      </c>
      <c r="F54" s="843"/>
      <c r="G54" s="843"/>
      <c r="H54" s="843"/>
      <c r="I54" s="844"/>
      <c r="J54" s="209"/>
      <c r="K54" s="814" t="s">
        <v>624</v>
      </c>
    </row>
    <row r="55" spans="1:11" s="55" customFormat="1" x14ac:dyDescent="0.25">
      <c r="A55" s="272"/>
      <c r="B55" s="273" t="s">
        <v>175</v>
      </c>
      <c r="C55" s="17" t="s">
        <v>45</v>
      </c>
      <c r="D55" s="52" t="s">
        <v>174</v>
      </c>
      <c r="E55" s="845"/>
      <c r="F55" s="846"/>
      <c r="G55" s="846"/>
      <c r="H55" s="846"/>
      <c r="I55" s="847"/>
      <c r="J55" s="208"/>
      <c r="K55" s="814"/>
    </row>
    <row r="56" spans="1:11" x14ac:dyDescent="0.25">
      <c r="A56" s="198" t="s">
        <v>585</v>
      </c>
      <c r="B56" s="265" t="s">
        <v>177</v>
      </c>
      <c r="C56" s="12" t="s">
        <v>45</v>
      </c>
      <c r="D56" s="57" t="s">
        <v>178</v>
      </c>
      <c r="E56" s="845"/>
      <c r="F56" s="846"/>
      <c r="G56" s="846"/>
      <c r="H56" s="846"/>
      <c r="I56" s="847"/>
      <c r="J56" s="209"/>
      <c r="K56" s="814"/>
    </row>
    <row r="57" spans="1:11" s="55" customFormat="1" x14ac:dyDescent="0.25">
      <c r="A57" s="272"/>
      <c r="B57" s="273" t="s">
        <v>179</v>
      </c>
      <c r="C57" s="17" t="s">
        <v>45</v>
      </c>
      <c r="D57" s="52" t="s">
        <v>178</v>
      </c>
      <c r="E57" s="848"/>
      <c r="F57" s="849"/>
      <c r="G57" s="849"/>
      <c r="H57" s="849"/>
      <c r="I57" s="850"/>
      <c r="J57" s="208"/>
      <c r="K57" s="814"/>
    </row>
    <row r="58" spans="1:11" x14ac:dyDescent="0.25">
      <c r="A58" s="10" t="s">
        <v>586</v>
      </c>
      <c r="B58" s="56" t="s">
        <v>181</v>
      </c>
      <c r="C58" s="12" t="s">
        <v>45</v>
      </c>
      <c r="D58" s="57" t="s">
        <v>46</v>
      </c>
      <c r="E58" s="824" t="s">
        <v>620</v>
      </c>
      <c r="F58" s="825"/>
      <c r="G58" s="825"/>
      <c r="H58" s="825"/>
      <c r="I58" s="826"/>
      <c r="J58" s="209"/>
      <c r="K58" s="814"/>
    </row>
    <row r="59" spans="1:11" s="55" customFormat="1" x14ac:dyDescent="0.25">
      <c r="A59" s="15"/>
      <c r="B59" s="51" t="s">
        <v>182</v>
      </c>
      <c r="C59" s="17" t="s">
        <v>45</v>
      </c>
      <c r="D59" s="52" t="s">
        <v>46</v>
      </c>
      <c r="E59" s="824" t="s">
        <v>620</v>
      </c>
      <c r="F59" s="825"/>
      <c r="G59" s="825"/>
      <c r="H59" s="825"/>
      <c r="I59" s="826"/>
      <c r="J59" s="208"/>
      <c r="K59" s="814"/>
    </row>
    <row r="60" spans="1:11" ht="25.5" x14ac:dyDescent="0.25">
      <c r="A60" s="198" t="s">
        <v>587</v>
      </c>
      <c r="B60" s="265" t="s">
        <v>184</v>
      </c>
      <c r="C60" s="57" t="s">
        <v>69</v>
      </c>
      <c r="D60" s="57" t="s">
        <v>185</v>
      </c>
      <c r="E60" s="842" t="s">
        <v>621</v>
      </c>
      <c r="F60" s="843"/>
      <c r="G60" s="843"/>
      <c r="H60" s="843"/>
      <c r="I60" s="844"/>
      <c r="J60" s="210" t="s">
        <v>186</v>
      </c>
      <c r="K60" s="765" t="s">
        <v>643</v>
      </c>
    </row>
    <row r="61" spans="1:11" s="55" customFormat="1" x14ac:dyDescent="0.25">
      <c r="A61" s="272"/>
      <c r="B61" s="273" t="s">
        <v>86</v>
      </c>
      <c r="C61" s="52" t="s">
        <v>0</v>
      </c>
      <c r="D61" s="52" t="s">
        <v>187</v>
      </c>
      <c r="E61" s="845"/>
      <c r="F61" s="846"/>
      <c r="G61" s="846"/>
      <c r="H61" s="846"/>
      <c r="I61" s="847"/>
      <c r="J61" s="208"/>
      <c r="K61" s="766"/>
    </row>
    <row r="62" spans="1:11" s="55" customFormat="1" x14ac:dyDescent="0.25">
      <c r="A62" s="272"/>
      <c r="B62" s="273" t="s">
        <v>88</v>
      </c>
      <c r="C62" s="52" t="s">
        <v>89</v>
      </c>
      <c r="D62" s="52" t="s">
        <v>188</v>
      </c>
      <c r="E62" s="845"/>
      <c r="F62" s="846"/>
      <c r="G62" s="846"/>
      <c r="H62" s="846"/>
      <c r="I62" s="847"/>
      <c r="J62" s="208"/>
      <c r="K62" s="766"/>
    </row>
    <row r="63" spans="1:11" s="55" customFormat="1" x14ac:dyDescent="0.25">
      <c r="A63" s="272"/>
      <c r="B63" s="273" t="s">
        <v>91</v>
      </c>
      <c r="C63" s="52" t="s">
        <v>92</v>
      </c>
      <c r="D63" s="52" t="s">
        <v>189</v>
      </c>
      <c r="E63" s="845"/>
      <c r="F63" s="846"/>
      <c r="G63" s="846"/>
      <c r="H63" s="846"/>
      <c r="I63" s="847"/>
      <c r="J63" s="208"/>
      <c r="K63" s="766"/>
    </row>
    <row r="64" spans="1:11" s="55" customFormat="1" x14ac:dyDescent="0.25">
      <c r="A64" s="272"/>
      <c r="B64" s="273" t="s">
        <v>94</v>
      </c>
      <c r="C64" s="52" t="s">
        <v>89</v>
      </c>
      <c r="D64" s="52" t="s">
        <v>190</v>
      </c>
      <c r="E64" s="845"/>
      <c r="F64" s="846"/>
      <c r="G64" s="846"/>
      <c r="H64" s="846"/>
      <c r="I64" s="847"/>
      <c r="J64" s="208"/>
      <c r="K64" s="766"/>
    </row>
    <row r="65" spans="1:11" s="197" customFormat="1" ht="13.5" customHeight="1" x14ac:dyDescent="0.25">
      <c r="A65" s="272"/>
      <c r="B65" s="273" t="s">
        <v>191</v>
      </c>
      <c r="C65" s="194" t="s">
        <v>92</v>
      </c>
      <c r="D65" s="194" t="s">
        <v>192</v>
      </c>
      <c r="E65" s="848"/>
      <c r="F65" s="849"/>
      <c r="G65" s="849"/>
      <c r="H65" s="849"/>
      <c r="I65" s="850"/>
      <c r="J65" s="229"/>
      <c r="K65" s="767"/>
    </row>
    <row r="66" spans="1:11" x14ac:dyDescent="0.25">
      <c r="A66" s="10" t="s">
        <v>588</v>
      </c>
      <c r="B66" s="56" t="s">
        <v>194</v>
      </c>
      <c r="C66" s="57" t="s">
        <v>126</v>
      </c>
      <c r="D66" s="57" t="s">
        <v>195</v>
      </c>
      <c r="E66" s="58"/>
      <c r="F66" s="58"/>
      <c r="G66" s="58"/>
      <c r="H66" s="58"/>
      <c r="I66" s="58"/>
      <c r="J66" s="209"/>
      <c r="K66" s="815" t="s">
        <v>143</v>
      </c>
    </row>
    <row r="67" spans="1:11" s="55" customFormat="1" x14ac:dyDescent="0.25">
      <c r="A67" s="15"/>
      <c r="B67" s="51" t="s">
        <v>196</v>
      </c>
      <c r="C67" s="52" t="s">
        <v>76</v>
      </c>
      <c r="D67" s="52" t="s">
        <v>197</v>
      </c>
      <c r="E67" s="53"/>
      <c r="F67" s="53"/>
      <c r="G67" s="53"/>
      <c r="H67" s="53"/>
      <c r="I67" s="53"/>
      <c r="J67" s="208" t="s">
        <v>198</v>
      </c>
      <c r="K67" s="816"/>
    </row>
    <row r="68" spans="1:11" x14ac:dyDescent="0.25">
      <c r="A68" s="10" t="s">
        <v>589</v>
      </c>
      <c r="B68" s="275" t="s">
        <v>200</v>
      </c>
      <c r="C68" s="57" t="s">
        <v>126</v>
      </c>
      <c r="D68" s="57" t="s">
        <v>195</v>
      </c>
      <c r="E68" s="851" t="s">
        <v>640</v>
      </c>
      <c r="F68" s="852"/>
      <c r="G68" s="852"/>
      <c r="H68" s="852"/>
      <c r="I68" s="853"/>
      <c r="J68" s="274"/>
      <c r="K68" s="816"/>
    </row>
    <row r="69" spans="1:11" x14ac:dyDescent="0.25">
      <c r="A69" s="10" t="s">
        <v>583</v>
      </c>
      <c r="B69" s="56" t="s">
        <v>202</v>
      </c>
      <c r="C69" s="57" t="s">
        <v>54</v>
      </c>
      <c r="D69" s="57" t="s">
        <v>7</v>
      </c>
      <c r="E69" s="58"/>
      <c r="F69" s="58"/>
      <c r="G69" s="58"/>
      <c r="H69" s="58"/>
      <c r="I69" s="58"/>
      <c r="J69" s="209"/>
      <c r="K69" s="816"/>
    </row>
    <row r="70" spans="1:11" s="55" customFormat="1" x14ac:dyDescent="0.25">
      <c r="A70" s="15"/>
      <c r="B70" s="51" t="s">
        <v>202</v>
      </c>
      <c r="C70" s="17" t="s">
        <v>45</v>
      </c>
      <c r="D70" s="52" t="s">
        <v>7</v>
      </c>
      <c r="E70" s="53"/>
      <c r="F70" s="53"/>
      <c r="G70" s="53"/>
      <c r="H70" s="53"/>
      <c r="I70" s="53"/>
      <c r="J70" s="208"/>
      <c r="K70" s="816"/>
    </row>
    <row r="71" spans="1:11" x14ac:dyDescent="0.25">
      <c r="A71" s="10" t="s">
        <v>590</v>
      </c>
      <c r="B71" s="56" t="s">
        <v>204</v>
      </c>
      <c r="C71" s="57" t="s">
        <v>54</v>
      </c>
      <c r="D71" s="57" t="s">
        <v>7</v>
      </c>
      <c r="E71" s="58"/>
      <c r="F71" s="58"/>
      <c r="G71" s="58"/>
      <c r="H71" s="58"/>
      <c r="I71" s="58"/>
      <c r="J71" s="209"/>
      <c r="K71" s="816"/>
    </row>
    <row r="72" spans="1:11" x14ac:dyDescent="0.25">
      <c r="A72" s="10" t="s">
        <v>591</v>
      </c>
      <c r="B72" s="56" t="s">
        <v>205</v>
      </c>
      <c r="C72" s="12" t="s">
        <v>573</v>
      </c>
      <c r="D72" s="57" t="s">
        <v>7</v>
      </c>
      <c r="E72" s="58"/>
      <c r="F72" s="58"/>
      <c r="G72" s="58"/>
      <c r="H72" s="58"/>
      <c r="I72" s="58"/>
      <c r="J72" s="209"/>
      <c r="K72" s="816"/>
    </row>
    <row r="73" spans="1:11" s="55" customFormat="1" x14ac:dyDescent="0.25">
      <c r="A73" s="15"/>
      <c r="B73" s="51" t="s">
        <v>205</v>
      </c>
      <c r="C73" s="17" t="s">
        <v>45</v>
      </c>
      <c r="D73" s="52" t="s">
        <v>7</v>
      </c>
      <c r="E73" s="53"/>
      <c r="F73" s="53"/>
      <c r="G73" s="53"/>
      <c r="H73" s="53"/>
      <c r="I73" s="53"/>
      <c r="J73" s="208"/>
      <c r="K73" s="817"/>
    </row>
    <row r="74" spans="1:11" s="34" customFormat="1" ht="32.25" customHeight="1" x14ac:dyDescent="0.25">
      <c r="A74" s="198" t="s">
        <v>592</v>
      </c>
      <c r="B74" s="199" t="s">
        <v>22</v>
      </c>
      <c r="C74" s="200" t="s">
        <v>0</v>
      </c>
      <c r="D74" s="201">
        <v>17001</v>
      </c>
      <c r="E74" s="854" t="s">
        <v>622</v>
      </c>
      <c r="F74" s="855"/>
      <c r="G74" s="855"/>
      <c r="H74" s="855"/>
      <c r="I74" s="856"/>
      <c r="K74" s="28"/>
    </row>
    <row r="75" spans="1:11" s="34" customFormat="1" ht="12" customHeight="1" x14ac:dyDescent="0.25">
      <c r="A75" s="120" t="s">
        <v>98</v>
      </c>
      <c r="B75" s="119" t="s">
        <v>124</v>
      </c>
      <c r="C75" s="124"/>
      <c r="D75" s="127"/>
      <c r="E75" s="126"/>
      <c r="F75" s="126"/>
      <c r="G75" s="126"/>
      <c r="H75" s="126"/>
      <c r="I75" s="126"/>
      <c r="J75" s="211"/>
      <c r="K75" s="815" t="s">
        <v>143</v>
      </c>
    </row>
    <row r="76" spans="1:11" ht="15" customHeight="1" x14ac:dyDescent="0.25">
      <c r="A76" s="59" t="s">
        <v>99</v>
      </c>
      <c r="B76" s="56" t="s">
        <v>63</v>
      </c>
      <c r="C76" s="57" t="s">
        <v>60</v>
      </c>
      <c r="D76" s="60">
        <v>170</v>
      </c>
      <c r="E76" s="833" t="s">
        <v>612</v>
      </c>
      <c r="F76" s="834"/>
      <c r="G76" s="834"/>
      <c r="H76" s="834"/>
      <c r="I76" s="835"/>
      <c r="J76" s="830" t="s">
        <v>121</v>
      </c>
      <c r="K76" s="816"/>
    </row>
    <row r="77" spans="1:11" s="55" customFormat="1" ht="12.75" customHeight="1" x14ac:dyDescent="0.25">
      <c r="A77" s="61"/>
      <c r="B77" s="51" t="s">
        <v>75</v>
      </c>
      <c r="C77" s="52" t="s">
        <v>76</v>
      </c>
      <c r="D77" s="62" t="s">
        <v>117</v>
      </c>
      <c r="E77" s="836"/>
      <c r="F77" s="837"/>
      <c r="G77" s="837"/>
      <c r="H77" s="837"/>
      <c r="I77" s="838"/>
      <c r="J77" s="831"/>
      <c r="K77" s="816"/>
    </row>
    <row r="78" spans="1:11" x14ac:dyDescent="0.25">
      <c r="A78" s="59" t="s">
        <v>100</v>
      </c>
      <c r="B78" s="56" t="s">
        <v>64</v>
      </c>
      <c r="C78" s="12" t="s">
        <v>45</v>
      </c>
      <c r="D78" s="60" t="s">
        <v>6</v>
      </c>
      <c r="E78" s="58"/>
      <c r="F78" s="58"/>
      <c r="G78" s="58"/>
      <c r="H78" s="58"/>
      <c r="I78" s="58"/>
      <c r="J78" s="831"/>
      <c r="K78" s="816"/>
    </row>
    <row r="79" spans="1:11" s="55" customFormat="1" ht="25.5" x14ac:dyDescent="0.25">
      <c r="A79" s="61"/>
      <c r="B79" s="51" t="s">
        <v>83</v>
      </c>
      <c r="C79" s="17" t="s">
        <v>45</v>
      </c>
      <c r="D79" s="62" t="s">
        <v>6</v>
      </c>
      <c r="E79" s="53"/>
      <c r="F79" s="53"/>
      <c r="G79" s="53"/>
      <c r="H79" s="53"/>
      <c r="I79" s="53"/>
      <c r="J79" s="831"/>
      <c r="K79" s="816"/>
    </row>
    <row r="80" spans="1:11" x14ac:dyDescent="0.25">
      <c r="A80" s="59" t="s">
        <v>101</v>
      </c>
      <c r="B80" s="56" t="s">
        <v>65</v>
      </c>
      <c r="C80" s="12" t="s">
        <v>45</v>
      </c>
      <c r="D80" s="60" t="s">
        <v>46</v>
      </c>
      <c r="E80" s="58"/>
      <c r="F80" s="58"/>
      <c r="G80" s="58"/>
      <c r="H80" s="58"/>
      <c r="I80" s="58"/>
      <c r="J80" s="831"/>
      <c r="K80" s="816"/>
    </row>
    <row r="81" spans="1:11" s="55" customFormat="1" ht="11.25" customHeight="1" x14ac:dyDescent="0.25">
      <c r="A81" s="61"/>
      <c r="B81" s="51" t="s">
        <v>84</v>
      </c>
      <c r="C81" s="17" t="s">
        <v>45</v>
      </c>
      <c r="D81" s="62" t="s">
        <v>46</v>
      </c>
      <c r="E81" s="53"/>
      <c r="F81" s="53"/>
      <c r="G81" s="53"/>
      <c r="H81" s="53"/>
      <c r="I81" s="53"/>
      <c r="J81" s="831"/>
      <c r="K81" s="816"/>
    </row>
    <row r="82" spans="1:11" s="257" customFormat="1" x14ac:dyDescent="0.25">
      <c r="A82" s="253" t="s">
        <v>102</v>
      </c>
      <c r="B82" s="179" t="s">
        <v>66</v>
      </c>
      <c r="C82" s="254" t="s">
        <v>0</v>
      </c>
      <c r="D82" s="255" t="s">
        <v>67</v>
      </c>
      <c r="E82" s="256"/>
      <c r="F82" s="256"/>
      <c r="G82" s="256"/>
      <c r="H82" s="256"/>
      <c r="I82" s="256"/>
      <c r="J82" s="831"/>
      <c r="K82" s="816"/>
    </row>
    <row r="83" spans="1:11" s="197" customFormat="1" x14ac:dyDescent="0.25">
      <c r="A83" s="192"/>
      <c r="B83" s="193" t="s">
        <v>85</v>
      </c>
      <c r="C83" s="194" t="s">
        <v>0</v>
      </c>
      <c r="D83" s="195" t="s">
        <v>67</v>
      </c>
      <c r="E83" s="196"/>
      <c r="F83" s="196"/>
      <c r="G83" s="196"/>
      <c r="H83" s="196"/>
      <c r="I83" s="196"/>
      <c r="J83" s="831"/>
      <c r="K83" s="817"/>
    </row>
    <row r="84" spans="1:11" ht="25.5" x14ac:dyDescent="0.25">
      <c r="A84" s="59" t="s">
        <v>103</v>
      </c>
      <c r="B84" s="56" t="s">
        <v>68</v>
      </c>
      <c r="C84" s="57" t="s">
        <v>69</v>
      </c>
      <c r="D84" s="60" t="s">
        <v>70</v>
      </c>
      <c r="E84" s="58"/>
      <c r="F84" s="58"/>
      <c r="G84" s="58"/>
      <c r="H84" s="58"/>
      <c r="I84" s="58"/>
      <c r="J84" s="831"/>
      <c r="K84" s="765" t="s">
        <v>643</v>
      </c>
    </row>
    <row r="85" spans="1:11" s="55" customFormat="1" x14ac:dyDescent="0.25">
      <c r="A85" s="61"/>
      <c r="B85" s="51" t="s">
        <v>86</v>
      </c>
      <c r="C85" s="52" t="s">
        <v>0</v>
      </c>
      <c r="D85" s="62" t="s">
        <v>87</v>
      </c>
      <c r="E85" s="53"/>
      <c r="F85" s="53"/>
      <c r="G85" s="53"/>
      <c r="H85" s="53"/>
      <c r="I85" s="53"/>
      <c r="J85" s="831"/>
      <c r="K85" s="766"/>
    </row>
    <row r="86" spans="1:11" s="55" customFormat="1" x14ac:dyDescent="0.25">
      <c r="A86" s="61"/>
      <c r="B86" s="51" t="s">
        <v>88</v>
      </c>
      <c r="C86" s="52" t="s">
        <v>89</v>
      </c>
      <c r="D86" s="62" t="s">
        <v>90</v>
      </c>
      <c r="E86" s="53"/>
      <c r="F86" s="53"/>
      <c r="G86" s="53"/>
      <c r="H86" s="53"/>
      <c r="I86" s="53"/>
      <c r="J86" s="831"/>
      <c r="K86" s="766"/>
    </row>
    <row r="87" spans="1:11" s="55" customFormat="1" x14ac:dyDescent="0.25">
      <c r="A87" s="61"/>
      <c r="B87" s="51" t="s">
        <v>91</v>
      </c>
      <c r="C87" s="52" t="s">
        <v>92</v>
      </c>
      <c r="D87" s="62" t="s">
        <v>93</v>
      </c>
      <c r="E87" s="53"/>
      <c r="F87" s="53"/>
      <c r="G87" s="53"/>
      <c r="H87" s="53"/>
      <c r="I87" s="53"/>
      <c r="J87" s="831"/>
      <c r="K87" s="766"/>
    </row>
    <row r="88" spans="1:11" s="55" customFormat="1" x14ac:dyDescent="0.25">
      <c r="A88" s="61"/>
      <c r="B88" s="51" t="s">
        <v>94</v>
      </c>
      <c r="C88" s="52" t="s">
        <v>89</v>
      </c>
      <c r="D88" s="62" t="s">
        <v>95</v>
      </c>
      <c r="E88" s="53"/>
      <c r="F88" s="53"/>
      <c r="G88" s="53"/>
      <c r="H88" s="53"/>
      <c r="I88" s="53"/>
      <c r="J88" s="831"/>
      <c r="K88" s="766"/>
    </row>
    <row r="89" spans="1:11" s="197" customFormat="1" x14ac:dyDescent="0.25">
      <c r="A89" s="192"/>
      <c r="B89" s="193" t="s">
        <v>96</v>
      </c>
      <c r="C89" s="194" t="s">
        <v>92</v>
      </c>
      <c r="D89" s="195" t="s">
        <v>97</v>
      </c>
      <c r="E89" s="196"/>
      <c r="F89" s="196"/>
      <c r="G89" s="196"/>
      <c r="H89" s="196"/>
      <c r="I89" s="196"/>
      <c r="J89" s="832"/>
      <c r="K89" s="766"/>
    </row>
    <row r="90" spans="1:11" x14ac:dyDescent="0.25">
      <c r="A90" s="59" t="s">
        <v>104</v>
      </c>
      <c r="B90" s="56" t="s">
        <v>71</v>
      </c>
      <c r="C90" s="57" t="s">
        <v>56</v>
      </c>
      <c r="D90" s="60" t="s">
        <v>72</v>
      </c>
      <c r="E90" s="58"/>
      <c r="F90" s="58"/>
      <c r="G90" s="58"/>
      <c r="H90" s="58"/>
      <c r="I90" s="58"/>
      <c r="J90" s="209"/>
      <c r="K90" s="14"/>
    </row>
    <row r="91" spans="1:11" s="55" customFormat="1" x14ac:dyDescent="0.25">
      <c r="A91" s="61"/>
      <c r="B91" s="51" t="s">
        <v>81</v>
      </c>
      <c r="C91" s="52" t="s">
        <v>0</v>
      </c>
      <c r="D91" s="62">
        <f>34*1.1</f>
        <v>37.4</v>
      </c>
      <c r="E91" s="53"/>
      <c r="F91" s="53"/>
      <c r="G91" s="53"/>
      <c r="H91" s="53"/>
      <c r="I91" s="53"/>
      <c r="J91" s="261" t="s">
        <v>82</v>
      </c>
      <c r="K91" s="14"/>
    </row>
    <row r="92" spans="1:11" x14ac:dyDescent="0.25">
      <c r="A92" s="120" t="s">
        <v>46</v>
      </c>
      <c r="B92" s="119" t="s">
        <v>41</v>
      </c>
      <c r="C92" s="121"/>
      <c r="D92" s="121"/>
      <c r="E92" s="122"/>
      <c r="F92" s="122"/>
      <c r="G92" s="123"/>
      <c r="H92" s="123"/>
      <c r="I92" s="123"/>
      <c r="J92" s="204"/>
      <c r="K92" s="14"/>
    </row>
    <row r="93" spans="1:11" x14ac:dyDescent="0.25">
      <c r="A93" s="59" t="s">
        <v>377</v>
      </c>
      <c r="B93" s="56" t="s">
        <v>42</v>
      </c>
      <c r="C93" s="57" t="s">
        <v>0</v>
      </c>
      <c r="D93" s="60" t="s">
        <v>43</v>
      </c>
      <c r="E93" s="58"/>
      <c r="F93" s="58"/>
      <c r="G93" s="58"/>
      <c r="H93" s="58"/>
      <c r="I93" s="58"/>
      <c r="J93" s="209"/>
      <c r="K93" s="14"/>
    </row>
    <row r="94" spans="1:11" ht="25.5" x14ac:dyDescent="0.25">
      <c r="A94" s="59" t="s">
        <v>379</v>
      </c>
      <c r="B94" s="56" t="s">
        <v>58</v>
      </c>
      <c r="C94" s="57" t="s">
        <v>0</v>
      </c>
      <c r="D94" s="60">
        <v>42</v>
      </c>
      <c r="E94" s="58"/>
      <c r="F94" s="58"/>
      <c r="G94" s="58"/>
      <c r="H94" s="58"/>
      <c r="I94" s="58"/>
      <c r="J94" s="209" t="s">
        <v>122</v>
      </c>
      <c r="K94" s="14"/>
    </row>
    <row r="95" spans="1:11" x14ac:dyDescent="0.25">
      <c r="A95" s="59" t="s">
        <v>382</v>
      </c>
      <c r="B95" s="56" t="s">
        <v>44</v>
      </c>
      <c r="C95" s="12" t="s">
        <v>45</v>
      </c>
      <c r="D95" s="60" t="s">
        <v>46</v>
      </c>
      <c r="E95" s="58"/>
      <c r="F95" s="58"/>
      <c r="G95" s="58"/>
      <c r="H95" s="58"/>
      <c r="I95" s="58"/>
      <c r="J95" s="209"/>
      <c r="K95" s="14"/>
    </row>
    <row r="96" spans="1:11" s="55" customFormat="1" ht="25.5" x14ac:dyDescent="0.25">
      <c r="A96" s="61"/>
      <c r="B96" s="51" t="s">
        <v>77</v>
      </c>
      <c r="C96" s="52" t="s">
        <v>76</v>
      </c>
      <c r="D96" s="62" t="s">
        <v>78</v>
      </c>
      <c r="E96" s="53"/>
      <c r="F96" s="53"/>
      <c r="G96" s="53"/>
      <c r="H96" s="53"/>
      <c r="I96" s="53"/>
      <c r="J96" s="208" t="s">
        <v>79</v>
      </c>
      <c r="K96" s="54"/>
    </row>
    <row r="97" spans="1:11" x14ac:dyDescent="0.25">
      <c r="A97" s="59" t="s">
        <v>386</v>
      </c>
      <c r="B97" s="56" t="s">
        <v>47</v>
      </c>
      <c r="C97" s="12" t="s">
        <v>45</v>
      </c>
      <c r="D97" s="60" t="s">
        <v>48</v>
      </c>
      <c r="E97" s="58"/>
      <c r="F97" s="58"/>
      <c r="G97" s="58"/>
      <c r="H97" s="58"/>
      <c r="I97" s="58"/>
      <c r="J97" s="209"/>
      <c r="K97" s="14"/>
    </row>
    <row r="98" spans="1:11" x14ac:dyDescent="0.25">
      <c r="A98" s="59" t="s">
        <v>397</v>
      </c>
      <c r="B98" s="56" t="s">
        <v>49</v>
      </c>
      <c r="C98" s="12" t="s">
        <v>45</v>
      </c>
      <c r="D98" s="60" t="s">
        <v>46</v>
      </c>
      <c r="E98" s="58"/>
      <c r="F98" s="58"/>
      <c r="G98" s="58"/>
      <c r="H98" s="58"/>
      <c r="I98" s="58"/>
      <c r="J98" s="209"/>
      <c r="K98" s="14"/>
    </row>
    <row r="99" spans="1:11" x14ac:dyDescent="0.25">
      <c r="A99" s="59" t="s">
        <v>412</v>
      </c>
      <c r="B99" s="56" t="s">
        <v>50</v>
      </c>
      <c r="C99" s="57" t="s">
        <v>0</v>
      </c>
      <c r="D99" s="60" t="s">
        <v>51</v>
      </c>
      <c r="E99" s="58"/>
      <c r="F99" s="58"/>
      <c r="G99" s="58"/>
      <c r="H99" s="58"/>
      <c r="I99" s="58"/>
      <c r="J99" s="209"/>
      <c r="K99" s="14"/>
    </row>
    <row r="100" spans="1:11" s="55" customFormat="1" x14ac:dyDescent="0.25">
      <c r="A100" s="61"/>
      <c r="B100" s="51" t="s">
        <v>81</v>
      </c>
      <c r="C100" s="52" t="s">
        <v>0</v>
      </c>
      <c r="D100" s="62">
        <f>38*1.1</f>
        <v>41.8</v>
      </c>
      <c r="E100" s="53"/>
      <c r="F100" s="53"/>
      <c r="G100" s="53"/>
      <c r="H100" s="53"/>
      <c r="I100" s="53"/>
      <c r="J100" s="261" t="s">
        <v>82</v>
      </c>
      <c r="K100" s="54">
        <v>1.03</v>
      </c>
    </row>
    <row r="101" spans="1:11" x14ac:dyDescent="0.25">
      <c r="A101" s="59" t="s">
        <v>448</v>
      </c>
      <c r="B101" s="56" t="s">
        <v>52</v>
      </c>
      <c r="C101" s="12" t="s">
        <v>45</v>
      </c>
      <c r="D101" s="60" t="s">
        <v>46</v>
      </c>
      <c r="E101" s="58"/>
      <c r="F101" s="58"/>
      <c r="G101" s="58"/>
      <c r="H101" s="58"/>
      <c r="I101" s="58"/>
      <c r="J101" s="209"/>
      <c r="K101" s="14"/>
    </row>
    <row r="102" spans="1:11" s="55" customFormat="1" ht="25.5" x14ac:dyDescent="0.25">
      <c r="A102" s="61"/>
      <c r="B102" s="51" t="s">
        <v>73</v>
      </c>
      <c r="C102" s="17" t="s">
        <v>45</v>
      </c>
      <c r="D102" s="62" t="s">
        <v>74</v>
      </c>
      <c r="E102" s="53"/>
      <c r="F102" s="53"/>
      <c r="G102" s="53"/>
      <c r="H102" s="53"/>
      <c r="I102" s="53"/>
      <c r="J102" s="208" t="s">
        <v>118</v>
      </c>
      <c r="K102" s="54"/>
    </row>
    <row r="103" spans="1:11" x14ac:dyDescent="0.25">
      <c r="A103" s="59" t="s">
        <v>451</v>
      </c>
      <c r="B103" s="56" t="s">
        <v>53</v>
      </c>
      <c r="C103" s="57" t="s">
        <v>54</v>
      </c>
      <c r="D103" s="60" t="s">
        <v>7</v>
      </c>
      <c r="E103" s="58"/>
      <c r="F103" s="58"/>
      <c r="G103" s="58"/>
      <c r="H103" s="58"/>
      <c r="I103" s="58"/>
      <c r="J103" s="209"/>
      <c r="K103" s="14"/>
    </row>
    <row r="104" spans="1:11" x14ac:dyDescent="0.25">
      <c r="A104" s="59" t="s">
        <v>453</v>
      </c>
      <c r="B104" s="56" t="s">
        <v>55</v>
      </c>
      <c r="C104" s="57" t="s">
        <v>56</v>
      </c>
      <c r="D104" s="60" t="s">
        <v>57</v>
      </c>
      <c r="E104" s="58"/>
      <c r="F104" s="58"/>
      <c r="G104" s="58"/>
      <c r="H104" s="58"/>
      <c r="I104" s="58"/>
      <c r="J104" s="209"/>
      <c r="K104" s="14"/>
    </row>
    <row r="105" spans="1:11" ht="25.5" x14ac:dyDescent="0.25">
      <c r="A105" s="59" t="s">
        <v>455</v>
      </c>
      <c r="B105" s="56" t="s">
        <v>58</v>
      </c>
      <c r="C105" s="57" t="s">
        <v>0</v>
      </c>
      <c r="D105" s="60">
        <f>253</f>
        <v>253</v>
      </c>
      <c r="E105" s="58"/>
      <c r="F105" s="58"/>
      <c r="G105" s="58"/>
      <c r="H105" s="58"/>
      <c r="I105" s="58"/>
      <c r="J105" s="209"/>
      <c r="K105" s="14"/>
    </row>
    <row r="106" spans="1:11" x14ac:dyDescent="0.25">
      <c r="A106" s="59" t="s">
        <v>457</v>
      </c>
      <c r="B106" s="56" t="s">
        <v>59</v>
      </c>
      <c r="C106" s="57" t="s">
        <v>60</v>
      </c>
      <c r="D106" s="60" t="s">
        <v>61</v>
      </c>
      <c r="E106" s="58"/>
      <c r="F106" s="58"/>
      <c r="G106" s="58"/>
      <c r="H106" s="58"/>
      <c r="I106" s="58"/>
      <c r="J106" s="209"/>
      <c r="K106" s="14"/>
    </row>
    <row r="107" spans="1:11" s="55" customFormat="1" x14ac:dyDescent="0.25">
      <c r="A107" s="61"/>
      <c r="B107" s="51" t="s">
        <v>80</v>
      </c>
      <c r="C107" s="52" t="s">
        <v>60</v>
      </c>
      <c r="D107" s="62" t="s">
        <v>61</v>
      </c>
      <c r="E107" s="53"/>
      <c r="F107" s="53"/>
      <c r="G107" s="53"/>
      <c r="H107" s="53"/>
      <c r="I107" s="53"/>
      <c r="J107" s="208"/>
      <c r="K107" s="54"/>
    </row>
    <row r="108" spans="1:11" x14ac:dyDescent="0.25">
      <c r="A108" s="59" t="s">
        <v>460</v>
      </c>
      <c r="B108" s="56" t="s">
        <v>62</v>
      </c>
      <c r="C108" s="57" t="s">
        <v>56</v>
      </c>
      <c r="D108" s="60" t="s">
        <v>57</v>
      </c>
      <c r="E108" s="58"/>
      <c r="F108" s="58"/>
      <c r="G108" s="58"/>
      <c r="H108" s="58"/>
      <c r="I108" s="58"/>
      <c r="J108" s="209"/>
      <c r="K108" s="14"/>
    </row>
    <row r="109" spans="1:11" s="55" customFormat="1" x14ac:dyDescent="0.25">
      <c r="A109" s="61"/>
      <c r="B109" s="51" t="s">
        <v>81</v>
      </c>
      <c r="C109" s="52" t="s">
        <v>0</v>
      </c>
      <c r="D109" s="62">
        <f>253*1.1</f>
        <v>278.3</v>
      </c>
      <c r="E109" s="53"/>
      <c r="F109" s="53"/>
      <c r="G109" s="53"/>
      <c r="H109" s="53"/>
      <c r="I109" s="53"/>
      <c r="J109" s="261" t="s">
        <v>82</v>
      </c>
      <c r="K109" s="54">
        <v>1.03</v>
      </c>
    </row>
    <row r="110" spans="1:11" s="34" customFormat="1" x14ac:dyDescent="0.25">
      <c r="A110" s="7"/>
      <c r="B110" s="128" t="s">
        <v>209</v>
      </c>
      <c r="C110" s="8"/>
      <c r="D110" s="129"/>
      <c r="E110" s="9"/>
      <c r="F110" s="9"/>
      <c r="G110" s="9"/>
      <c r="H110" s="9"/>
      <c r="I110" s="9"/>
      <c r="J110" s="212"/>
      <c r="K110" s="28"/>
    </row>
    <row r="111" spans="1:11" s="34" customFormat="1" x14ac:dyDescent="0.25">
      <c r="A111" s="120" t="s">
        <v>7</v>
      </c>
      <c r="B111" s="119" t="s">
        <v>23</v>
      </c>
      <c r="C111" s="124" t="s">
        <v>0</v>
      </c>
      <c r="D111" s="125">
        <v>14955</v>
      </c>
      <c r="E111" s="126"/>
      <c r="F111" s="126"/>
      <c r="G111" s="126"/>
      <c r="H111" s="126"/>
      <c r="I111" s="126"/>
      <c r="J111" s="206"/>
      <c r="K111" s="28"/>
    </row>
    <row r="112" spans="1:11" s="63" customFormat="1" x14ac:dyDescent="0.25">
      <c r="A112" s="120" t="s">
        <v>6</v>
      </c>
      <c r="B112" s="130" t="s">
        <v>210</v>
      </c>
      <c r="C112" s="131"/>
      <c r="D112" s="132"/>
      <c r="E112" s="133"/>
      <c r="F112" s="133"/>
      <c r="G112" s="133"/>
      <c r="H112" s="133"/>
      <c r="I112" s="133"/>
      <c r="J112" s="213"/>
      <c r="K112" s="65"/>
    </row>
    <row r="113" spans="1:11" s="27" customFormat="1" ht="39.75" customHeight="1" x14ac:dyDescent="0.25">
      <c r="A113" s="10" t="s">
        <v>16</v>
      </c>
      <c r="B113" s="21" t="s">
        <v>211</v>
      </c>
      <c r="C113" s="23" t="s">
        <v>89</v>
      </c>
      <c r="D113" s="24">
        <v>6474</v>
      </c>
      <c r="E113" s="839" t="s">
        <v>641</v>
      </c>
      <c r="F113" s="840"/>
      <c r="G113" s="840"/>
      <c r="H113" s="840"/>
      <c r="I113" s="841"/>
      <c r="J113" s="214"/>
      <c r="K113" s="56"/>
    </row>
    <row r="114" spans="1:11" s="27" customFormat="1" x14ac:dyDescent="0.25">
      <c r="A114" s="10" t="s">
        <v>17</v>
      </c>
      <c r="B114" s="21" t="s">
        <v>212</v>
      </c>
      <c r="C114" s="23" t="s">
        <v>89</v>
      </c>
      <c r="D114" s="24">
        <v>6474</v>
      </c>
      <c r="E114" s="26"/>
      <c r="F114" s="26"/>
      <c r="G114" s="26"/>
      <c r="H114" s="26"/>
      <c r="I114" s="26"/>
      <c r="J114" s="214"/>
      <c r="K114" s="56"/>
    </row>
    <row r="115" spans="1:11" s="27" customFormat="1" ht="25.5" x14ac:dyDescent="0.25">
      <c r="A115" s="10"/>
      <c r="B115" s="22" t="s">
        <v>213</v>
      </c>
      <c r="C115" s="25" t="s">
        <v>214</v>
      </c>
      <c r="D115" s="17">
        <v>7121.4</v>
      </c>
      <c r="E115" s="26"/>
      <c r="F115" s="26"/>
      <c r="G115" s="26"/>
      <c r="H115" s="26"/>
      <c r="I115" s="26"/>
      <c r="J115" s="260" t="s">
        <v>215</v>
      </c>
      <c r="K115" s="56">
        <v>1.05</v>
      </c>
    </row>
    <row r="116" spans="1:11" s="27" customFormat="1" x14ac:dyDescent="0.25">
      <c r="A116" s="10" t="s">
        <v>18</v>
      </c>
      <c r="B116" s="21" t="s">
        <v>216</v>
      </c>
      <c r="C116" s="23" t="s">
        <v>89</v>
      </c>
      <c r="D116" s="24">
        <v>126</v>
      </c>
      <c r="E116" s="26"/>
      <c r="F116" s="26"/>
      <c r="G116" s="26"/>
      <c r="H116" s="26"/>
      <c r="I116" s="26"/>
      <c r="J116" s="214"/>
      <c r="K116" s="56"/>
    </row>
    <row r="117" spans="1:11" s="27" customFormat="1" ht="25.5" x14ac:dyDescent="0.25">
      <c r="A117" s="10"/>
      <c r="B117" s="22" t="s">
        <v>217</v>
      </c>
      <c r="C117" s="25" t="s">
        <v>214</v>
      </c>
      <c r="D117" s="17">
        <v>138.6</v>
      </c>
      <c r="E117" s="26"/>
      <c r="F117" s="26"/>
      <c r="G117" s="26"/>
      <c r="H117" s="26"/>
      <c r="I117" s="26"/>
      <c r="J117" s="260" t="s">
        <v>215</v>
      </c>
      <c r="K117" s="56">
        <v>1.05</v>
      </c>
    </row>
    <row r="118" spans="1:11" s="27" customFormat="1" x14ac:dyDescent="0.25">
      <c r="A118" s="10" t="s">
        <v>19</v>
      </c>
      <c r="B118" s="21" t="s">
        <v>218</v>
      </c>
      <c r="C118" s="23" t="s">
        <v>89</v>
      </c>
      <c r="D118" s="24">
        <v>336</v>
      </c>
      <c r="E118" s="19"/>
      <c r="F118" s="19"/>
      <c r="G118" s="19"/>
      <c r="H118" s="19"/>
      <c r="I118" s="19"/>
      <c r="J118" s="260" t="s">
        <v>215</v>
      </c>
      <c r="K118" s="56"/>
    </row>
    <row r="119" spans="1:11" s="27" customFormat="1" ht="25.5" x14ac:dyDescent="0.25">
      <c r="A119" s="10"/>
      <c r="B119" s="22" t="s">
        <v>219</v>
      </c>
      <c r="C119" s="25" t="s">
        <v>89</v>
      </c>
      <c r="D119" s="17">
        <v>369.6</v>
      </c>
      <c r="E119" s="26"/>
      <c r="F119" s="26"/>
      <c r="G119" s="26"/>
      <c r="H119" s="26"/>
      <c r="I119" s="26"/>
      <c r="J119" s="260" t="s">
        <v>220</v>
      </c>
      <c r="K119" s="56">
        <v>1.05</v>
      </c>
    </row>
    <row r="120" spans="1:11" s="27" customFormat="1" ht="36" x14ac:dyDescent="0.25">
      <c r="A120" s="10" t="s">
        <v>20</v>
      </c>
      <c r="B120" s="21" t="s">
        <v>221</v>
      </c>
      <c r="C120" s="23" t="s">
        <v>89</v>
      </c>
      <c r="D120" s="24">
        <v>6350</v>
      </c>
      <c r="E120" s="789" t="s">
        <v>645</v>
      </c>
      <c r="F120" s="790"/>
      <c r="G120" s="790"/>
      <c r="H120" s="790"/>
      <c r="I120" s="791"/>
      <c r="J120" s="214" t="s">
        <v>222</v>
      </c>
      <c r="K120" s="56"/>
    </row>
    <row r="121" spans="1:11" s="27" customFormat="1" x14ac:dyDescent="0.25">
      <c r="A121" s="10"/>
      <c r="B121" s="22" t="s">
        <v>223</v>
      </c>
      <c r="C121" s="25" t="s">
        <v>89</v>
      </c>
      <c r="D121" s="17">
        <v>6985</v>
      </c>
      <c r="E121" s="19"/>
      <c r="F121" s="19"/>
      <c r="G121" s="19"/>
      <c r="H121" s="19"/>
      <c r="I121" s="19"/>
      <c r="J121" s="260" t="s">
        <v>224</v>
      </c>
      <c r="K121" s="56">
        <v>1.03</v>
      </c>
    </row>
    <row r="122" spans="1:11" s="27" customFormat="1" ht="36" customHeight="1" x14ac:dyDescent="0.25">
      <c r="A122" s="10" t="s">
        <v>308</v>
      </c>
      <c r="B122" s="21" t="s">
        <v>225</v>
      </c>
      <c r="C122" s="23" t="s">
        <v>89</v>
      </c>
      <c r="D122" s="24">
        <v>126</v>
      </c>
      <c r="E122" s="789" t="s">
        <v>613</v>
      </c>
      <c r="F122" s="790"/>
      <c r="G122" s="790"/>
      <c r="H122" s="790"/>
      <c r="I122" s="791"/>
      <c r="J122" s="214" t="s">
        <v>222</v>
      </c>
      <c r="K122" s="56"/>
    </row>
    <row r="123" spans="1:11" s="27" customFormat="1" x14ac:dyDescent="0.25">
      <c r="A123" s="10"/>
      <c r="B123" s="22" t="s">
        <v>223</v>
      </c>
      <c r="C123" s="25" t="s">
        <v>89</v>
      </c>
      <c r="D123" s="17">
        <v>138.6</v>
      </c>
      <c r="E123" s="19"/>
      <c r="F123" s="19"/>
      <c r="G123" s="19"/>
      <c r="H123" s="19"/>
      <c r="I123" s="19"/>
      <c r="J123" s="260" t="s">
        <v>224</v>
      </c>
      <c r="K123" s="56">
        <v>1.03</v>
      </c>
    </row>
    <row r="124" spans="1:11" s="27" customFormat="1" ht="36" customHeight="1" x14ac:dyDescent="0.25">
      <c r="A124" s="10" t="s">
        <v>311</v>
      </c>
      <c r="B124" s="21" t="s">
        <v>226</v>
      </c>
      <c r="C124" s="23" t="s">
        <v>89</v>
      </c>
      <c r="D124" s="24">
        <v>336</v>
      </c>
      <c r="E124" s="789" t="s">
        <v>644</v>
      </c>
      <c r="F124" s="790"/>
      <c r="G124" s="790"/>
      <c r="H124" s="790"/>
      <c r="I124" s="791"/>
      <c r="J124" s="214" t="s">
        <v>222</v>
      </c>
      <c r="K124" s="56"/>
    </row>
    <row r="125" spans="1:11" s="27" customFormat="1" x14ac:dyDescent="0.25">
      <c r="A125" s="10"/>
      <c r="B125" s="22" t="s">
        <v>610</v>
      </c>
      <c r="C125" s="25" t="s">
        <v>89</v>
      </c>
      <c r="D125" s="17">
        <v>369.6</v>
      </c>
      <c r="E125" s="19"/>
      <c r="F125" s="19"/>
      <c r="G125" s="19"/>
      <c r="H125" s="19"/>
      <c r="I125" s="19"/>
      <c r="J125" s="260" t="s">
        <v>220</v>
      </c>
      <c r="K125" s="56">
        <v>1.03</v>
      </c>
    </row>
    <row r="126" spans="1:11" s="27" customFormat="1" ht="25.5" x14ac:dyDescent="0.25">
      <c r="A126" s="10" t="s">
        <v>315</v>
      </c>
      <c r="B126" s="21" t="s">
        <v>227</v>
      </c>
      <c r="C126" s="23" t="s">
        <v>89</v>
      </c>
      <c r="D126" s="24">
        <v>446</v>
      </c>
      <c r="E126" s="26"/>
      <c r="F126" s="26"/>
      <c r="G126" s="26"/>
      <c r="H126" s="26"/>
      <c r="I126" s="26"/>
      <c r="J126" s="214" t="s">
        <v>228</v>
      </c>
      <c r="K126" s="56"/>
    </row>
    <row r="127" spans="1:11" s="27" customFormat="1" x14ac:dyDescent="0.25">
      <c r="A127" s="10"/>
      <c r="B127" s="22" t="s">
        <v>609</v>
      </c>
      <c r="C127" s="25" t="s">
        <v>89</v>
      </c>
      <c r="D127" s="17">
        <v>490.6</v>
      </c>
      <c r="E127" s="26"/>
      <c r="F127" s="26"/>
      <c r="G127" s="26"/>
      <c r="H127" s="26"/>
      <c r="I127" s="26"/>
      <c r="J127" s="260" t="s">
        <v>220</v>
      </c>
      <c r="K127" s="56">
        <v>1.03</v>
      </c>
    </row>
    <row r="128" spans="1:11" s="27" customFormat="1" x14ac:dyDescent="0.25">
      <c r="A128" s="10" t="s">
        <v>319</v>
      </c>
      <c r="B128" s="21" t="s">
        <v>229</v>
      </c>
      <c r="C128" s="23" t="s">
        <v>0</v>
      </c>
      <c r="D128" s="24">
        <v>122</v>
      </c>
      <c r="E128" s="26"/>
      <c r="F128" s="26"/>
      <c r="G128" s="26"/>
      <c r="H128" s="26"/>
      <c r="I128" s="26"/>
      <c r="J128" s="214"/>
      <c r="K128" s="56"/>
    </row>
    <row r="129" spans="1:11" s="27" customFormat="1" ht="25.5" x14ac:dyDescent="0.25">
      <c r="A129" s="15"/>
      <c r="B129" s="22" t="s">
        <v>230</v>
      </c>
      <c r="C129" s="25" t="s">
        <v>0</v>
      </c>
      <c r="D129" s="17">
        <v>135</v>
      </c>
      <c r="E129" s="19"/>
      <c r="F129" s="19"/>
      <c r="G129" s="19"/>
      <c r="H129" s="19"/>
      <c r="I129" s="19"/>
      <c r="J129" s="260" t="s">
        <v>82</v>
      </c>
      <c r="K129" s="56">
        <v>1.03</v>
      </c>
    </row>
    <row r="130" spans="1:11" s="27" customFormat="1" x14ac:dyDescent="0.25">
      <c r="A130" s="10" t="s">
        <v>322</v>
      </c>
      <c r="B130" s="21" t="s">
        <v>231</v>
      </c>
      <c r="C130" s="23" t="s">
        <v>60</v>
      </c>
      <c r="D130" s="23">
        <v>237</v>
      </c>
      <c r="E130" s="19"/>
      <c r="F130" s="19"/>
      <c r="G130" s="19"/>
      <c r="H130" s="19"/>
      <c r="I130" s="19"/>
      <c r="J130" s="215"/>
      <c r="K130" s="56"/>
    </row>
    <row r="131" spans="1:11" s="27" customFormat="1" ht="25.5" x14ac:dyDescent="0.25">
      <c r="A131" s="15"/>
      <c r="B131" s="22" t="s">
        <v>232</v>
      </c>
      <c r="C131" s="25" t="s">
        <v>60</v>
      </c>
      <c r="D131" s="25">
        <v>237</v>
      </c>
      <c r="E131" s="19"/>
      <c r="F131" s="19"/>
      <c r="G131" s="19"/>
      <c r="H131" s="19"/>
      <c r="I131" s="19"/>
      <c r="J131" s="215" t="s">
        <v>233</v>
      </c>
      <c r="K131" s="56"/>
    </row>
    <row r="132" spans="1:11" s="27" customFormat="1" ht="36" x14ac:dyDescent="0.25">
      <c r="A132" s="10" t="s">
        <v>325</v>
      </c>
      <c r="B132" s="21" t="s">
        <v>234</v>
      </c>
      <c r="C132" s="23" t="s">
        <v>89</v>
      </c>
      <c r="D132" s="24">
        <v>6235</v>
      </c>
      <c r="E132" s="26"/>
      <c r="F132" s="26"/>
      <c r="G132" s="26"/>
      <c r="H132" s="26"/>
      <c r="I132" s="26"/>
      <c r="J132" s="214" t="s">
        <v>222</v>
      </c>
      <c r="K132" s="56"/>
    </row>
    <row r="133" spans="1:11" s="27" customFormat="1" x14ac:dyDescent="0.25">
      <c r="A133" s="10"/>
      <c r="B133" s="22" t="s">
        <v>611</v>
      </c>
      <c r="C133" s="25" t="s">
        <v>89</v>
      </c>
      <c r="D133" s="17">
        <v>6858.5</v>
      </c>
      <c r="E133" s="19"/>
      <c r="F133" s="19"/>
      <c r="G133" s="19"/>
      <c r="H133" s="19"/>
      <c r="I133" s="19"/>
      <c r="J133" s="260" t="s">
        <v>220</v>
      </c>
      <c r="K133" s="56">
        <v>1.03</v>
      </c>
    </row>
    <row r="134" spans="1:11" s="27" customFormat="1" ht="36" x14ac:dyDescent="0.25">
      <c r="A134" s="10" t="s">
        <v>328</v>
      </c>
      <c r="B134" s="21" t="s">
        <v>235</v>
      </c>
      <c r="C134" s="23" t="s">
        <v>89</v>
      </c>
      <c r="D134" s="24">
        <v>126</v>
      </c>
      <c r="E134" s="26"/>
      <c r="F134" s="26"/>
      <c r="G134" s="26"/>
      <c r="H134" s="26"/>
      <c r="I134" s="26"/>
      <c r="J134" s="214" t="s">
        <v>222</v>
      </c>
      <c r="K134" s="56"/>
    </row>
    <row r="135" spans="1:11" s="27" customFormat="1" x14ac:dyDescent="0.25">
      <c r="A135" s="10"/>
      <c r="B135" s="22" t="s">
        <v>611</v>
      </c>
      <c r="C135" s="25" t="s">
        <v>89</v>
      </c>
      <c r="D135" s="17">
        <v>138.6</v>
      </c>
      <c r="E135" s="19"/>
      <c r="F135" s="19"/>
      <c r="G135" s="19"/>
      <c r="H135" s="19"/>
      <c r="I135" s="19"/>
      <c r="J135" s="260" t="s">
        <v>220</v>
      </c>
      <c r="K135" s="56">
        <v>1.03</v>
      </c>
    </row>
    <row r="136" spans="1:11" s="27" customFormat="1" ht="36" x14ac:dyDescent="0.25">
      <c r="A136" s="10" t="s">
        <v>363</v>
      </c>
      <c r="B136" s="21" t="s">
        <v>236</v>
      </c>
      <c r="C136" s="23" t="s">
        <v>89</v>
      </c>
      <c r="D136" s="24">
        <v>336</v>
      </c>
      <c r="E136" s="26"/>
      <c r="F136" s="26"/>
      <c r="G136" s="26"/>
      <c r="H136" s="26"/>
      <c r="I136" s="26"/>
      <c r="J136" s="214" t="s">
        <v>222</v>
      </c>
      <c r="K136" s="56"/>
    </row>
    <row r="137" spans="1:11" s="27" customFormat="1" x14ac:dyDescent="0.25">
      <c r="A137" s="10"/>
      <c r="B137" s="22" t="s">
        <v>611</v>
      </c>
      <c r="C137" s="25" t="s">
        <v>89</v>
      </c>
      <c r="D137" s="17">
        <v>369.6</v>
      </c>
      <c r="E137" s="19"/>
      <c r="F137" s="19"/>
      <c r="G137" s="19"/>
      <c r="H137" s="19"/>
      <c r="I137" s="19"/>
      <c r="J137" s="260" t="s">
        <v>220</v>
      </c>
      <c r="K137" s="56">
        <v>1.03</v>
      </c>
    </row>
    <row r="138" spans="1:11" s="27" customFormat="1" x14ac:dyDescent="0.25">
      <c r="A138" s="10" t="s">
        <v>367</v>
      </c>
      <c r="B138" s="21" t="s">
        <v>237</v>
      </c>
      <c r="C138" s="23" t="s">
        <v>60</v>
      </c>
      <c r="D138" s="24">
        <v>4658</v>
      </c>
      <c r="E138" s="26"/>
      <c r="F138" s="26"/>
      <c r="G138" s="26"/>
      <c r="H138" s="26"/>
      <c r="I138" s="26"/>
      <c r="J138" s="214"/>
      <c r="K138" s="56"/>
    </row>
    <row r="139" spans="1:11" s="27" customFormat="1" x14ac:dyDescent="0.25">
      <c r="A139" s="10"/>
      <c r="B139" s="22" t="s">
        <v>238</v>
      </c>
      <c r="C139" s="25" t="s">
        <v>239</v>
      </c>
      <c r="D139" s="17" t="s">
        <v>240</v>
      </c>
      <c r="E139" s="19"/>
      <c r="F139" s="19"/>
      <c r="G139" s="19"/>
      <c r="H139" s="26"/>
      <c r="I139" s="26"/>
      <c r="J139" s="214"/>
      <c r="K139" s="56"/>
    </row>
    <row r="140" spans="1:11" s="27" customFormat="1" x14ac:dyDescent="0.25">
      <c r="A140" s="10" t="s">
        <v>370</v>
      </c>
      <c r="B140" s="21" t="s">
        <v>241</v>
      </c>
      <c r="C140" s="23" t="s">
        <v>89</v>
      </c>
      <c r="D140" s="24">
        <v>453</v>
      </c>
      <c r="E140" s="26"/>
      <c r="F140" s="26"/>
      <c r="G140" s="26"/>
      <c r="H140" s="26"/>
      <c r="I140" s="26"/>
      <c r="J140" s="214"/>
      <c r="K140" s="56"/>
    </row>
    <row r="141" spans="1:11" s="27" customFormat="1" x14ac:dyDescent="0.25">
      <c r="A141" s="10"/>
      <c r="B141" s="22" t="s">
        <v>242</v>
      </c>
      <c r="C141" s="25" t="s">
        <v>89</v>
      </c>
      <c r="D141" s="17">
        <v>498.3</v>
      </c>
      <c r="E141" s="19"/>
      <c r="F141" s="26"/>
      <c r="G141" s="26"/>
      <c r="H141" s="26"/>
      <c r="I141" s="26"/>
      <c r="J141" s="260" t="s">
        <v>220</v>
      </c>
      <c r="K141" s="56">
        <v>1.03</v>
      </c>
    </row>
    <row r="142" spans="1:11" s="27" customFormat="1" ht="25.5" x14ac:dyDescent="0.25">
      <c r="A142" s="10" t="s">
        <v>373</v>
      </c>
      <c r="B142" s="21" t="s">
        <v>243</v>
      </c>
      <c r="C142" s="23" t="s">
        <v>60</v>
      </c>
      <c r="D142" s="24">
        <v>135</v>
      </c>
      <c r="E142" s="26"/>
      <c r="F142" s="26"/>
      <c r="G142" s="26"/>
      <c r="H142" s="26"/>
      <c r="I142" s="26"/>
      <c r="J142" s="214"/>
      <c r="K142" s="56"/>
    </row>
    <row r="143" spans="1:11" s="27" customFormat="1" x14ac:dyDescent="0.25">
      <c r="A143" s="10"/>
      <c r="B143" s="22" t="s">
        <v>244</v>
      </c>
      <c r="C143" s="25" t="s">
        <v>245</v>
      </c>
      <c r="D143" s="17" t="s">
        <v>246</v>
      </c>
      <c r="E143" s="26"/>
      <c r="F143" s="26"/>
      <c r="G143" s="26"/>
      <c r="H143" s="26"/>
      <c r="I143" s="26"/>
      <c r="J143" s="260" t="s">
        <v>247</v>
      </c>
      <c r="K143" s="56">
        <v>1</v>
      </c>
    </row>
    <row r="144" spans="1:11" s="27" customFormat="1" x14ac:dyDescent="0.25">
      <c r="A144" s="10" t="s">
        <v>584</v>
      </c>
      <c r="B144" s="21" t="s">
        <v>248</v>
      </c>
      <c r="C144" s="23" t="s">
        <v>249</v>
      </c>
      <c r="D144" s="20" t="s">
        <v>250</v>
      </c>
      <c r="E144" s="26"/>
      <c r="F144" s="26"/>
      <c r="G144" s="26"/>
      <c r="H144" s="26"/>
      <c r="I144" s="26"/>
      <c r="J144" s="214"/>
      <c r="K144" s="56"/>
    </row>
    <row r="145" spans="1:11" s="27" customFormat="1" x14ac:dyDescent="0.25">
      <c r="A145" s="10"/>
      <c r="B145" s="22" t="s">
        <v>251</v>
      </c>
      <c r="C145" s="25" t="s">
        <v>0</v>
      </c>
      <c r="D145" s="25">
        <v>304.5</v>
      </c>
      <c r="E145" s="19"/>
      <c r="F145" s="19"/>
      <c r="G145" s="19"/>
      <c r="H145" s="19"/>
      <c r="I145" s="19"/>
      <c r="J145" s="260" t="s">
        <v>252</v>
      </c>
      <c r="K145" s="56">
        <v>1.0149999999999999</v>
      </c>
    </row>
    <row r="146" spans="1:11" s="27" customFormat="1" x14ac:dyDescent="0.25">
      <c r="A146" s="10" t="s">
        <v>585</v>
      </c>
      <c r="B146" s="21" t="s">
        <v>253</v>
      </c>
      <c r="C146" s="23" t="s">
        <v>60</v>
      </c>
      <c r="D146" s="23">
        <v>306</v>
      </c>
      <c r="E146" s="26"/>
      <c r="F146" s="26"/>
      <c r="G146" s="26"/>
      <c r="H146" s="26"/>
      <c r="I146" s="26"/>
      <c r="J146" s="214"/>
      <c r="K146" s="56"/>
    </row>
    <row r="147" spans="1:11" s="27" customFormat="1" x14ac:dyDescent="0.25">
      <c r="A147" s="10"/>
      <c r="B147" s="22" t="s">
        <v>254</v>
      </c>
      <c r="C147" s="25" t="s">
        <v>0</v>
      </c>
      <c r="D147" s="17">
        <v>2.2999999999999998</v>
      </c>
      <c r="E147" s="26"/>
      <c r="F147" s="26"/>
      <c r="G147" s="26"/>
      <c r="H147" s="26"/>
      <c r="I147" s="26"/>
      <c r="J147" s="214"/>
      <c r="K147" s="56"/>
    </row>
    <row r="148" spans="1:11" s="27" customFormat="1" ht="25.5" x14ac:dyDescent="0.25">
      <c r="A148" s="10" t="s">
        <v>586</v>
      </c>
      <c r="B148" s="21" t="s">
        <v>255</v>
      </c>
      <c r="C148" s="23" t="s">
        <v>89</v>
      </c>
      <c r="D148" s="23">
        <v>126</v>
      </c>
      <c r="E148" s="26"/>
      <c r="F148" s="26"/>
      <c r="G148" s="26"/>
      <c r="H148" s="26"/>
      <c r="I148" s="26"/>
      <c r="J148" s="214"/>
      <c r="K148" s="56"/>
    </row>
    <row r="149" spans="1:11" s="27" customFormat="1" x14ac:dyDescent="0.25">
      <c r="A149" s="10"/>
      <c r="B149" s="22" t="s">
        <v>251</v>
      </c>
      <c r="C149" s="25" t="s">
        <v>0</v>
      </c>
      <c r="D149" s="25">
        <v>7.6</v>
      </c>
      <c r="E149" s="19"/>
      <c r="F149" s="19"/>
      <c r="G149" s="19"/>
      <c r="H149" s="19"/>
      <c r="I149" s="19"/>
      <c r="J149" s="260" t="s">
        <v>252</v>
      </c>
      <c r="K149" s="56" t="s">
        <v>630</v>
      </c>
    </row>
    <row r="150" spans="1:11" s="27" customFormat="1" x14ac:dyDescent="0.25">
      <c r="A150" s="10" t="s">
        <v>587</v>
      </c>
      <c r="B150" s="21" t="s">
        <v>257</v>
      </c>
      <c r="C150" s="23" t="s">
        <v>60</v>
      </c>
      <c r="D150" s="23">
        <v>305</v>
      </c>
      <c r="E150" s="26"/>
      <c r="F150" s="26"/>
      <c r="G150" s="26"/>
      <c r="H150" s="26"/>
      <c r="I150" s="26"/>
      <c r="J150" s="214"/>
      <c r="K150" s="56"/>
    </row>
    <row r="151" spans="1:11" s="27" customFormat="1" x14ac:dyDescent="0.25">
      <c r="A151" s="15"/>
      <c r="B151" s="22" t="s">
        <v>251</v>
      </c>
      <c r="C151" s="25" t="s">
        <v>0</v>
      </c>
      <c r="D151" s="25">
        <v>0.76</v>
      </c>
      <c r="E151" s="26"/>
      <c r="F151" s="26"/>
      <c r="G151" s="26"/>
      <c r="H151" s="26"/>
      <c r="I151" s="26"/>
      <c r="J151" s="214"/>
      <c r="K151" s="56"/>
    </row>
    <row r="152" spans="1:11" s="27" customFormat="1" x14ac:dyDescent="0.25">
      <c r="A152" s="10" t="s">
        <v>588</v>
      </c>
      <c r="B152" s="21" t="s">
        <v>259</v>
      </c>
      <c r="C152" s="23" t="s">
        <v>60</v>
      </c>
      <c r="D152" s="24">
        <v>536</v>
      </c>
      <c r="E152" s="26"/>
      <c r="F152" s="26"/>
      <c r="G152" s="26"/>
      <c r="H152" s="26"/>
      <c r="I152" s="26"/>
      <c r="J152" s="214"/>
      <c r="K152" s="56"/>
    </row>
    <row r="153" spans="1:11" s="27" customFormat="1" x14ac:dyDescent="0.25">
      <c r="A153" s="10"/>
      <c r="B153" s="22" t="s">
        <v>260</v>
      </c>
      <c r="C153" s="25" t="s">
        <v>60</v>
      </c>
      <c r="D153" s="17">
        <v>590</v>
      </c>
      <c r="E153" s="19"/>
      <c r="F153" s="19"/>
      <c r="G153" s="19"/>
      <c r="H153" s="19"/>
      <c r="I153" s="19"/>
      <c r="J153" s="215" t="s">
        <v>82</v>
      </c>
      <c r="K153" s="56">
        <v>1</v>
      </c>
    </row>
    <row r="154" spans="1:11" s="27" customFormat="1" x14ac:dyDescent="0.25">
      <c r="A154" s="10" t="s">
        <v>589</v>
      </c>
      <c r="B154" s="21" t="s">
        <v>261</v>
      </c>
      <c r="C154" s="23" t="s">
        <v>0</v>
      </c>
      <c r="D154" s="23">
        <v>0.6</v>
      </c>
      <c r="E154" s="26"/>
      <c r="F154" s="26"/>
      <c r="G154" s="26"/>
      <c r="H154" s="26"/>
      <c r="I154" s="26"/>
      <c r="J154" s="214" t="s">
        <v>262</v>
      </c>
      <c r="K154" s="56"/>
    </row>
    <row r="155" spans="1:11" s="27" customFormat="1" x14ac:dyDescent="0.25">
      <c r="A155" s="10"/>
      <c r="B155" s="22" t="s">
        <v>263</v>
      </c>
      <c r="C155" s="25" t="s">
        <v>92</v>
      </c>
      <c r="D155" s="17">
        <v>600</v>
      </c>
      <c r="E155" s="19"/>
      <c r="F155" s="19"/>
      <c r="G155" s="19"/>
      <c r="H155" s="19"/>
      <c r="I155" s="19"/>
      <c r="J155" s="215"/>
      <c r="K155" s="56"/>
    </row>
    <row r="156" spans="1:11" s="27" customFormat="1" x14ac:dyDescent="0.25">
      <c r="A156" s="10" t="s">
        <v>583</v>
      </c>
      <c r="B156" s="21" t="s">
        <v>264</v>
      </c>
      <c r="C156" s="23" t="s">
        <v>265</v>
      </c>
      <c r="D156" s="24" t="s">
        <v>266</v>
      </c>
      <c r="E156" s="26"/>
      <c r="F156" s="26"/>
      <c r="G156" s="26"/>
      <c r="H156" s="26"/>
      <c r="I156" s="26"/>
      <c r="J156" s="214"/>
      <c r="K156" s="56"/>
    </row>
    <row r="157" spans="1:11" s="27" customFormat="1" x14ac:dyDescent="0.25">
      <c r="A157" s="10"/>
      <c r="B157" s="22" t="s">
        <v>267</v>
      </c>
      <c r="C157" s="25" t="s">
        <v>60</v>
      </c>
      <c r="D157" s="25">
        <v>295</v>
      </c>
      <c r="E157" s="19"/>
      <c r="F157" s="19"/>
      <c r="G157" s="19"/>
      <c r="H157" s="19"/>
      <c r="I157" s="19"/>
      <c r="J157" s="215" t="s">
        <v>247</v>
      </c>
      <c r="K157" s="56">
        <v>1</v>
      </c>
    </row>
    <row r="158" spans="1:11" s="27" customFormat="1" x14ac:dyDescent="0.25">
      <c r="A158" s="10" t="s">
        <v>590</v>
      </c>
      <c r="B158" s="21" t="s">
        <v>268</v>
      </c>
      <c r="C158" s="23" t="s">
        <v>89</v>
      </c>
      <c r="D158" s="23">
        <v>170</v>
      </c>
      <c r="E158" s="26"/>
      <c r="F158" s="26"/>
      <c r="G158" s="26"/>
      <c r="H158" s="26"/>
      <c r="I158" s="26"/>
      <c r="J158" s="214" t="s">
        <v>262</v>
      </c>
      <c r="K158" s="56"/>
    </row>
    <row r="159" spans="1:11" s="27" customFormat="1" x14ac:dyDescent="0.25">
      <c r="A159" s="10"/>
      <c r="B159" s="22" t="s">
        <v>269</v>
      </c>
      <c r="C159" s="25"/>
      <c r="D159" s="17"/>
      <c r="E159" s="19"/>
      <c r="F159" s="19"/>
      <c r="G159" s="19"/>
      <c r="H159" s="19"/>
      <c r="I159" s="19"/>
      <c r="J159" s="215"/>
      <c r="K159" s="56"/>
    </row>
    <row r="160" spans="1:11" s="172" customFormat="1" x14ac:dyDescent="0.25">
      <c r="A160" s="168" t="s">
        <v>591</v>
      </c>
      <c r="B160" s="169" t="s">
        <v>270</v>
      </c>
      <c r="C160" s="170" t="s">
        <v>60</v>
      </c>
      <c r="D160" s="170">
        <v>268</v>
      </c>
      <c r="E160" s="171"/>
      <c r="F160" s="171"/>
      <c r="G160" s="171"/>
      <c r="H160" s="171"/>
      <c r="I160" s="171"/>
      <c r="J160" s="216"/>
      <c r="K160" s="167"/>
    </row>
    <row r="161" spans="1:11" s="172" customFormat="1" x14ac:dyDescent="0.25">
      <c r="A161" s="168"/>
      <c r="B161" s="169" t="s">
        <v>271</v>
      </c>
      <c r="C161" s="170" t="s">
        <v>60</v>
      </c>
      <c r="D161" s="170">
        <v>268</v>
      </c>
      <c r="E161" s="171"/>
      <c r="F161" s="171"/>
      <c r="G161" s="171"/>
      <c r="H161" s="171"/>
      <c r="I161" s="171"/>
      <c r="J161" s="216"/>
      <c r="K161" s="167"/>
    </row>
    <row r="162" spans="1:11" s="172" customFormat="1" x14ac:dyDescent="0.25">
      <c r="A162" s="168"/>
      <c r="B162" s="173" t="s">
        <v>272</v>
      </c>
      <c r="C162" s="174" t="s">
        <v>0</v>
      </c>
      <c r="D162" s="174">
        <v>0.74</v>
      </c>
      <c r="E162" s="171"/>
      <c r="F162" s="171"/>
      <c r="G162" s="171"/>
      <c r="H162" s="171"/>
      <c r="I162" s="171"/>
      <c r="J162" s="260" t="s">
        <v>220</v>
      </c>
      <c r="K162" s="167">
        <v>1</v>
      </c>
    </row>
    <row r="163" spans="1:11" s="172" customFormat="1" x14ac:dyDescent="0.25">
      <c r="A163" s="168"/>
      <c r="B163" s="173" t="s">
        <v>273</v>
      </c>
      <c r="C163" s="174"/>
      <c r="D163" s="174"/>
      <c r="E163" s="171"/>
      <c r="F163" s="171"/>
      <c r="G163" s="171"/>
      <c r="H163" s="171"/>
      <c r="I163" s="171"/>
      <c r="J163" s="216"/>
      <c r="K163" s="167"/>
    </row>
    <row r="164" spans="1:11" s="27" customFormat="1" x14ac:dyDescent="0.25">
      <c r="A164" s="10" t="s">
        <v>592</v>
      </c>
      <c r="B164" s="21" t="s">
        <v>274</v>
      </c>
      <c r="C164" s="23" t="s">
        <v>45</v>
      </c>
      <c r="D164" s="24">
        <v>11</v>
      </c>
      <c r="E164" s="26"/>
      <c r="F164" s="26"/>
      <c r="G164" s="26"/>
      <c r="H164" s="26"/>
      <c r="I164" s="26"/>
      <c r="J164" s="214"/>
      <c r="K164" s="805" t="s">
        <v>647</v>
      </c>
    </row>
    <row r="165" spans="1:11" s="27" customFormat="1" x14ac:dyDescent="0.25">
      <c r="A165" s="15"/>
      <c r="B165" s="22" t="s">
        <v>275</v>
      </c>
      <c r="C165" s="25" t="s">
        <v>276</v>
      </c>
      <c r="D165" s="25">
        <v>11</v>
      </c>
      <c r="E165" s="19"/>
      <c r="F165" s="19"/>
      <c r="G165" s="19"/>
      <c r="H165" s="19"/>
      <c r="I165" s="19"/>
      <c r="J165" s="215" t="s">
        <v>277</v>
      </c>
      <c r="K165" s="806"/>
    </row>
    <row r="166" spans="1:11" s="27" customFormat="1" x14ac:dyDescent="0.25">
      <c r="A166" s="15"/>
      <c r="B166" s="22" t="s">
        <v>278</v>
      </c>
      <c r="C166" s="25" t="s">
        <v>276</v>
      </c>
      <c r="D166" s="17">
        <v>11</v>
      </c>
      <c r="E166" s="19"/>
      <c r="F166" s="19"/>
      <c r="G166" s="19"/>
      <c r="H166" s="19"/>
      <c r="I166" s="19"/>
      <c r="J166" s="215" t="s">
        <v>279</v>
      </c>
      <c r="K166" s="807"/>
    </row>
    <row r="167" spans="1:11" s="27" customFormat="1" x14ac:dyDescent="0.25">
      <c r="A167" s="10" t="s">
        <v>593</v>
      </c>
      <c r="B167" s="21" t="s">
        <v>280</v>
      </c>
      <c r="C167" s="23" t="s">
        <v>45</v>
      </c>
      <c r="D167" s="24">
        <v>1</v>
      </c>
      <c r="E167" s="26"/>
      <c r="F167" s="26"/>
      <c r="G167" s="26"/>
      <c r="H167" s="26"/>
      <c r="I167" s="26"/>
      <c r="J167" s="214"/>
      <c r="K167" s="805" t="s">
        <v>646</v>
      </c>
    </row>
    <row r="168" spans="1:11" s="27" customFormat="1" x14ac:dyDescent="0.25">
      <c r="A168" s="15"/>
      <c r="B168" s="22" t="s">
        <v>281</v>
      </c>
      <c r="C168" s="25" t="s">
        <v>276</v>
      </c>
      <c r="D168" s="25">
        <v>1</v>
      </c>
      <c r="E168" s="19"/>
      <c r="F168" s="19"/>
      <c r="G168" s="19"/>
      <c r="H168" s="19"/>
      <c r="I168" s="19"/>
      <c r="J168" s="215" t="s">
        <v>282</v>
      </c>
      <c r="K168" s="806"/>
    </row>
    <row r="169" spans="1:11" s="27" customFormat="1" x14ac:dyDescent="0.25">
      <c r="A169" s="15"/>
      <c r="B169" s="22" t="s">
        <v>283</v>
      </c>
      <c r="C169" s="25" t="s">
        <v>276</v>
      </c>
      <c r="D169" s="25">
        <v>1</v>
      </c>
      <c r="E169" s="19"/>
      <c r="F169" s="19"/>
      <c r="G169" s="19"/>
      <c r="H169" s="19"/>
      <c r="I169" s="19"/>
      <c r="J169" s="215" t="s">
        <v>282</v>
      </c>
      <c r="K169" s="806"/>
    </row>
    <row r="170" spans="1:11" s="27" customFormat="1" x14ac:dyDescent="0.25">
      <c r="A170" s="15"/>
      <c r="B170" s="22" t="s">
        <v>284</v>
      </c>
      <c r="C170" s="25" t="s">
        <v>276</v>
      </c>
      <c r="D170" s="25">
        <v>3</v>
      </c>
      <c r="E170" s="19"/>
      <c r="F170" s="19"/>
      <c r="G170" s="19"/>
      <c r="H170" s="19"/>
      <c r="I170" s="19"/>
      <c r="J170" s="215" t="s">
        <v>282</v>
      </c>
      <c r="K170" s="807"/>
    </row>
    <row r="171" spans="1:11" s="27" customFormat="1" x14ac:dyDescent="0.25">
      <c r="A171" s="10" t="s">
        <v>594</v>
      </c>
      <c r="B171" s="21" t="s">
        <v>285</v>
      </c>
      <c r="C171" s="25"/>
      <c r="D171" s="25"/>
      <c r="E171" s="19"/>
      <c r="F171" s="19"/>
      <c r="G171" s="19"/>
      <c r="H171" s="19"/>
      <c r="I171" s="19"/>
      <c r="J171" s="215"/>
      <c r="K171" s="805" t="s">
        <v>648</v>
      </c>
    </row>
    <row r="172" spans="1:11" s="27" customFormat="1" x14ac:dyDescent="0.25">
      <c r="A172" s="15"/>
      <c r="B172" s="22" t="s">
        <v>286</v>
      </c>
      <c r="C172" s="25" t="s">
        <v>92</v>
      </c>
      <c r="D172" s="25">
        <v>1.7</v>
      </c>
      <c r="E172" s="19"/>
      <c r="F172" s="19"/>
      <c r="G172" s="19"/>
      <c r="H172" s="19"/>
      <c r="I172" s="19"/>
      <c r="J172" s="215" t="s">
        <v>287</v>
      </c>
      <c r="K172" s="806"/>
    </row>
    <row r="173" spans="1:11" s="27" customFormat="1" x14ac:dyDescent="0.25">
      <c r="A173" s="15"/>
      <c r="B173" s="22" t="s">
        <v>288</v>
      </c>
      <c r="C173" s="25" t="s">
        <v>92</v>
      </c>
      <c r="D173" s="25">
        <v>5.0999999999999996</v>
      </c>
      <c r="E173" s="19"/>
      <c r="F173" s="19"/>
      <c r="G173" s="19"/>
      <c r="H173" s="19"/>
      <c r="I173" s="19"/>
      <c r="J173" s="215" t="s">
        <v>289</v>
      </c>
      <c r="K173" s="807"/>
    </row>
    <row r="174" spans="1:11" s="27" customFormat="1" x14ac:dyDescent="0.25">
      <c r="A174" s="10" t="s">
        <v>595</v>
      </c>
      <c r="B174" s="21" t="s">
        <v>290</v>
      </c>
      <c r="C174" s="23" t="s">
        <v>60</v>
      </c>
      <c r="D174" s="23">
        <v>31.4</v>
      </c>
      <c r="E174" s="26"/>
      <c r="F174" s="26"/>
      <c r="G174" s="26"/>
      <c r="H174" s="26"/>
      <c r="I174" s="26"/>
      <c r="J174" s="214"/>
      <c r="K174" s="56"/>
    </row>
    <row r="175" spans="1:11" s="27" customFormat="1" x14ac:dyDescent="0.25">
      <c r="A175" s="15"/>
      <c r="B175" s="22" t="s">
        <v>291</v>
      </c>
      <c r="C175" s="25" t="s">
        <v>60</v>
      </c>
      <c r="D175" s="25">
        <v>31.4</v>
      </c>
      <c r="E175" s="19"/>
      <c r="F175" s="19"/>
      <c r="G175" s="19"/>
      <c r="H175" s="19"/>
      <c r="I175" s="19"/>
      <c r="J175" s="215" t="s">
        <v>292</v>
      </c>
      <c r="K175" s="56"/>
    </row>
    <row r="176" spans="1:11" s="27" customFormat="1" x14ac:dyDescent="0.25">
      <c r="A176" s="15"/>
      <c r="B176" s="22" t="s">
        <v>293</v>
      </c>
      <c r="C176" s="25" t="s">
        <v>0</v>
      </c>
      <c r="D176" s="17">
        <v>307</v>
      </c>
      <c r="E176" s="19"/>
      <c r="F176" s="19"/>
      <c r="G176" s="19"/>
      <c r="H176" s="19"/>
      <c r="I176" s="19"/>
      <c r="J176" s="215"/>
      <c r="K176" s="56"/>
    </row>
    <row r="177" spans="1:11" s="27" customFormat="1" x14ac:dyDescent="0.25">
      <c r="A177" s="15"/>
      <c r="B177" s="22" t="s">
        <v>294</v>
      </c>
      <c r="C177" s="25" t="s">
        <v>295</v>
      </c>
      <c r="D177" s="17">
        <v>1.86</v>
      </c>
      <c r="E177" s="19"/>
      <c r="F177" s="19"/>
      <c r="G177" s="19"/>
      <c r="H177" s="19"/>
      <c r="I177" s="19"/>
      <c r="J177" s="215" t="s">
        <v>296</v>
      </c>
      <c r="K177" s="56"/>
    </row>
    <row r="178" spans="1:11" s="27" customFormat="1" x14ac:dyDescent="0.25">
      <c r="A178" s="120" t="s">
        <v>98</v>
      </c>
      <c r="B178" s="130" t="s">
        <v>297</v>
      </c>
      <c r="C178" s="147"/>
      <c r="D178" s="147"/>
      <c r="E178" s="136"/>
      <c r="F178" s="136"/>
      <c r="G178" s="136"/>
      <c r="H178" s="136"/>
      <c r="I178" s="136"/>
      <c r="J178" s="218"/>
      <c r="K178" s="56"/>
    </row>
    <row r="179" spans="1:11" s="27" customFormat="1" ht="25.5" x14ac:dyDescent="0.25">
      <c r="A179" s="10" t="s">
        <v>99</v>
      </c>
      <c r="B179" s="21" t="s">
        <v>298</v>
      </c>
      <c r="C179" s="23" t="s">
        <v>45</v>
      </c>
      <c r="D179" s="24">
        <v>2</v>
      </c>
      <c r="E179" s="796" t="s">
        <v>619</v>
      </c>
      <c r="F179" s="797"/>
      <c r="G179" s="797"/>
      <c r="H179" s="797"/>
      <c r="I179" s="798"/>
      <c r="J179" s="214"/>
      <c r="K179" s="56"/>
    </row>
    <row r="180" spans="1:11" s="27" customFormat="1" ht="25.5" x14ac:dyDescent="0.25">
      <c r="A180" s="15"/>
      <c r="B180" s="22" t="s">
        <v>299</v>
      </c>
      <c r="C180" s="25" t="s">
        <v>45</v>
      </c>
      <c r="D180" s="17">
        <v>2</v>
      </c>
      <c r="E180" s="799"/>
      <c r="F180" s="800"/>
      <c r="G180" s="800"/>
      <c r="H180" s="800"/>
      <c r="I180" s="801"/>
      <c r="J180" s="215"/>
      <c r="K180" s="56"/>
    </row>
    <row r="181" spans="1:11" s="27" customFormat="1" ht="25.5" x14ac:dyDescent="0.25">
      <c r="A181" s="10" t="s">
        <v>100</v>
      </c>
      <c r="B181" s="21" t="s">
        <v>300</v>
      </c>
      <c r="C181" s="23" t="s">
        <v>45</v>
      </c>
      <c r="D181" s="24">
        <v>2</v>
      </c>
      <c r="E181" s="799"/>
      <c r="F181" s="800"/>
      <c r="G181" s="800"/>
      <c r="H181" s="800"/>
      <c r="I181" s="801"/>
      <c r="J181" s="214"/>
      <c r="K181" s="56"/>
    </row>
    <row r="182" spans="1:11" s="27" customFormat="1" ht="25.5" x14ac:dyDescent="0.25">
      <c r="A182" s="15"/>
      <c r="B182" s="22" t="s">
        <v>301</v>
      </c>
      <c r="C182" s="25" t="s">
        <v>45</v>
      </c>
      <c r="D182" s="17">
        <v>2</v>
      </c>
      <c r="E182" s="799"/>
      <c r="F182" s="800"/>
      <c r="G182" s="800"/>
      <c r="H182" s="800"/>
      <c r="I182" s="801"/>
      <c r="J182" s="215"/>
      <c r="K182" s="56"/>
    </row>
    <row r="183" spans="1:11" s="27" customFormat="1" x14ac:dyDescent="0.25">
      <c r="A183" s="10" t="s">
        <v>101</v>
      </c>
      <c r="B183" s="21" t="s">
        <v>302</v>
      </c>
      <c r="C183" s="23" t="s">
        <v>276</v>
      </c>
      <c r="D183" s="23">
        <v>4</v>
      </c>
      <c r="E183" s="799"/>
      <c r="F183" s="800"/>
      <c r="G183" s="800"/>
      <c r="H183" s="800"/>
      <c r="I183" s="801"/>
      <c r="J183" s="214"/>
      <c r="K183" s="56"/>
    </row>
    <row r="184" spans="1:11" s="27" customFormat="1" x14ac:dyDescent="0.25">
      <c r="A184" s="15"/>
      <c r="B184" s="22" t="s">
        <v>303</v>
      </c>
      <c r="C184" s="25" t="s">
        <v>60</v>
      </c>
      <c r="D184" s="64">
        <v>10</v>
      </c>
      <c r="E184" s="799"/>
      <c r="F184" s="800"/>
      <c r="G184" s="800"/>
      <c r="H184" s="800"/>
      <c r="I184" s="801"/>
      <c r="J184" s="215"/>
      <c r="K184" s="56"/>
    </row>
    <row r="185" spans="1:11" s="27" customFormat="1" x14ac:dyDescent="0.25">
      <c r="A185" s="10" t="s">
        <v>102</v>
      </c>
      <c r="B185" s="21" t="s">
        <v>304</v>
      </c>
      <c r="C185" s="23" t="s">
        <v>45</v>
      </c>
      <c r="D185" s="24">
        <v>2</v>
      </c>
      <c r="E185" s="799"/>
      <c r="F185" s="800"/>
      <c r="G185" s="800"/>
      <c r="H185" s="800"/>
      <c r="I185" s="801"/>
      <c r="J185" s="214"/>
      <c r="K185" s="56"/>
    </row>
    <row r="186" spans="1:11" s="27" customFormat="1" ht="25.5" x14ac:dyDescent="0.25">
      <c r="A186" s="15"/>
      <c r="B186" s="22" t="s">
        <v>305</v>
      </c>
      <c r="C186" s="25" t="s">
        <v>45</v>
      </c>
      <c r="D186" s="17">
        <v>2</v>
      </c>
      <c r="E186" s="799"/>
      <c r="F186" s="800"/>
      <c r="G186" s="800"/>
      <c r="H186" s="800"/>
      <c r="I186" s="801"/>
      <c r="J186" s="215"/>
      <c r="K186" s="56"/>
    </row>
    <row r="187" spans="1:11" s="27" customFormat="1" x14ac:dyDescent="0.25">
      <c r="A187" s="10" t="s">
        <v>103</v>
      </c>
      <c r="B187" s="21" t="s">
        <v>306</v>
      </c>
      <c r="C187" s="23" t="s">
        <v>45</v>
      </c>
      <c r="D187" s="24">
        <v>2</v>
      </c>
      <c r="E187" s="799"/>
      <c r="F187" s="800"/>
      <c r="G187" s="800"/>
      <c r="H187" s="800"/>
      <c r="I187" s="801"/>
      <c r="J187" s="214"/>
      <c r="K187" s="56"/>
    </row>
    <row r="188" spans="1:11" s="27" customFormat="1" x14ac:dyDescent="0.25">
      <c r="A188" s="10"/>
      <c r="B188" s="22" t="s">
        <v>307</v>
      </c>
      <c r="C188" s="25" t="s">
        <v>276</v>
      </c>
      <c r="D188" s="17">
        <v>2</v>
      </c>
      <c r="E188" s="799"/>
      <c r="F188" s="800"/>
      <c r="G188" s="800"/>
      <c r="H188" s="800"/>
      <c r="I188" s="801"/>
      <c r="J188" s="214"/>
      <c r="K188" s="56"/>
    </row>
    <row r="189" spans="1:11" s="27" customFormat="1" x14ac:dyDescent="0.25">
      <c r="A189" s="10" t="s">
        <v>104</v>
      </c>
      <c r="B189" s="21" t="s">
        <v>309</v>
      </c>
      <c r="C189" s="23" t="s">
        <v>45</v>
      </c>
      <c r="D189" s="24">
        <v>11</v>
      </c>
      <c r="E189" s="799"/>
      <c r="F189" s="800"/>
      <c r="G189" s="800"/>
      <c r="H189" s="800"/>
      <c r="I189" s="801"/>
      <c r="J189" s="214"/>
      <c r="K189" s="56"/>
    </row>
    <row r="190" spans="1:11" s="27" customFormat="1" x14ac:dyDescent="0.25">
      <c r="A190" s="10"/>
      <c r="B190" s="22" t="s">
        <v>310</v>
      </c>
      <c r="C190" s="25" t="s">
        <v>276</v>
      </c>
      <c r="D190" s="17">
        <v>11</v>
      </c>
      <c r="E190" s="799"/>
      <c r="F190" s="800"/>
      <c r="G190" s="800"/>
      <c r="H190" s="800"/>
      <c r="I190" s="801"/>
      <c r="J190" s="214"/>
      <c r="K190" s="56"/>
    </row>
    <row r="191" spans="1:11" s="27" customFormat="1" x14ac:dyDescent="0.25">
      <c r="A191" s="10" t="s">
        <v>105</v>
      </c>
      <c r="B191" s="21" t="s">
        <v>312</v>
      </c>
      <c r="C191" s="23" t="s">
        <v>45</v>
      </c>
      <c r="D191" s="24">
        <v>4</v>
      </c>
      <c r="E191" s="799"/>
      <c r="F191" s="800"/>
      <c r="G191" s="800"/>
      <c r="H191" s="800"/>
      <c r="I191" s="801"/>
      <c r="J191" s="214"/>
      <c r="K191" s="56"/>
    </row>
    <row r="192" spans="1:11" s="27" customFormat="1" x14ac:dyDescent="0.25">
      <c r="A192" s="15"/>
      <c r="B192" s="22" t="s">
        <v>313</v>
      </c>
      <c r="C192" s="25" t="s">
        <v>45</v>
      </c>
      <c r="D192" s="17">
        <v>9</v>
      </c>
      <c r="E192" s="799"/>
      <c r="F192" s="800"/>
      <c r="G192" s="800"/>
      <c r="H192" s="800"/>
      <c r="I192" s="801"/>
      <c r="J192" s="215" t="s">
        <v>314</v>
      </c>
      <c r="K192" s="56"/>
    </row>
    <row r="193" spans="1:11" s="27" customFormat="1" x14ac:dyDescent="0.25">
      <c r="A193" s="10" t="s">
        <v>106</v>
      </c>
      <c r="B193" s="21" t="s">
        <v>316</v>
      </c>
      <c r="C193" s="23" t="s">
        <v>45</v>
      </c>
      <c r="D193" s="24">
        <v>1</v>
      </c>
      <c r="E193" s="799"/>
      <c r="F193" s="800"/>
      <c r="G193" s="800"/>
      <c r="H193" s="800"/>
      <c r="I193" s="801"/>
      <c r="J193" s="214"/>
      <c r="K193" s="56"/>
    </row>
    <row r="194" spans="1:11" s="27" customFormat="1" x14ac:dyDescent="0.25">
      <c r="A194" s="15"/>
      <c r="B194" s="22" t="s">
        <v>317</v>
      </c>
      <c r="C194" s="25" t="s">
        <v>45</v>
      </c>
      <c r="D194" s="17">
        <v>4</v>
      </c>
      <c r="E194" s="799"/>
      <c r="F194" s="800"/>
      <c r="G194" s="800"/>
      <c r="H194" s="800"/>
      <c r="I194" s="801"/>
      <c r="J194" s="215"/>
      <c r="K194" s="56"/>
    </row>
    <row r="195" spans="1:11" s="27" customFormat="1" x14ac:dyDescent="0.25">
      <c r="A195" s="15"/>
      <c r="B195" s="22" t="s">
        <v>318</v>
      </c>
      <c r="C195" s="25" t="s">
        <v>45</v>
      </c>
      <c r="D195" s="17">
        <v>1</v>
      </c>
      <c r="E195" s="799"/>
      <c r="F195" s="800"/>
      <c r="G195" s="800"/>
      <c r="H195" s="800"/>
      <c r="I195" s="801"/>
      <c r="J195" s="215"/>
      <c r="K195" s="56"/>
    </row>
    <row r="196" spans="1:11" s="27" customFormat="1" x14ac:dyDescent="0.25">
      <c r="A196" s="10" t="s">
        <v>107</v>
      </c>
      <c r="B196" s="21" t="s">
        <v>320</v>
      </c>
      <c r="C196" s="23" t="s">
        <v>45</v>
      </c>
      <c r="D196" s="24">
        <v>1</v>
      </c>
      <c r="E196" s="799"/>
      <c r="F196" s="800"/>
      <c r="G196" s="800"/>
      <c r="H196" s="800"/>
      <c r="I196" s="801"/>
      <c r="J196" s="214"/>
      <c r="K196" s="56"/>
    </row>
    <row r="197" spans="1:11" s="27" customFormat="1" x14ac:dyDescent="0.25">
      <c r="A197" s="10"/>
      <c r="B197" s="22" t="s">
        <v>321</v>
      </c>
      <c r="C197" s="25" t="s">
        <v>276</v>
      </c>
      <c r="D197" s="17">
        <v>1</v>
      </c>
      <c r="E197" s="799"/>
      <c r="F197" s="800"/>
      <c r="G197" s="800"/>
      <c r="H197" s="800"/>
      <c r="I197" s="801"/>
      <c r="J197" s="214"/>
      <c r="K197" s="56"/>
    </row>
    <row r="198" spans="1:11" s="27" customFormat="1" ht="25.5" x14ac:dyDescent="0.25">
      <c r="A198" s="10" t="s">
        <v>108</v>
      </c>
      <c r="B198" s="21" t="s">
        <v>323</v>
      </c>
      <c r="C198" s="23" t="s">
        <v>45</v>
      </c>
      <c r="D198" s="24">
        <v>4</v>
      </c>
      <c r="E198" s="799"/>
      <c r="F198" s="800"/>
      <c r="G198" s="800"/>
      <c r="H198" s="800"/>
      <c r="I198" s="801"/>
      <c r="J198" s="214"/>
      <c r="K198" s="56"/>
    </row>
    <row r="199" spans="1:11" s="27" customFormat="1" x14ac:dyDescent="0.25">
      <c r="A199" s="15"/>
      <c r="B199" s="22" t="s">
        <v>324</v>
      </c>
      <c r="C199" s="25" t="s">
        <v>45</v>
      </c>
      <c r="D199" s="17">
        <v>4</v>
      </c>
      <c r="E199" s="799"/>
      <c r="F199" s="800"/>
      <c r="G199" s="800"/>
      <c r="H199" s="800"/>
      <c r="I199" s="801"/>
      <c r="J199" s="215"/>
      <c r="K199" s="56"/>
    </row>
    <row r="200" spans="1:11" s="27" customFormat="1" x14ac:dyDescent="0.25">
      <c r="A200" s="10" t="s">
        <v>109</v>
      </c>
      <c r="B200" s="21" t="s">
        <v>326</v>
      </c>
      <c r="C200" s="23" t="s">
        <v>45</v>
      </c>
      <c r="D200" s="24">
        <v>2</v>
      </c>
      <c r="E200" s="799"/>
      <c r="F200" s="800"/>
      <c r="G200" s="800"/>
      <c r="H200" s="800"/>
      <c r="I200" s="801"/>
      <c r="J200" s="214"/>
      <c r="K200" s="56"/>
    </row>
    <row r="201" spans="1:11" s="27" customFormat="1" ht="25.5" x14ac:dyDescent="0.25">
      <c r="A201" s="10"/>
      <c r="B201" s="22" t="s">
        <v>327</v>
      </c>
      <c r="C201" s="25" t="s">
        <v>276</v>
      </c>
      <c r="D201" s="17">
        <v>2</v>
      </c>
      <c r="E201" s="802"/>
      <c r="F201" s="803"/>
      <c r="G201" s="803"/>
      <c r="H201" s="803"/>
      <c r="I201" s="804"/>
      <c r="J201" s="214"/>
      <c r="K201" s="56"/>
    </row>
    <row r="202" spans="1:11" s="27" customFormat="1" x14ac:dyDescent="0.25">
      <c r="A202" s="10" t="s">
        <v>110</v>
      </c>
      <c r="B202" s="21" t="s">
        <v>329</v>
      </c>
      <c r="C202" s="23" t="s">
        <v>54</v>
      </c>
      <c r="D202" s="24">
        <v>1</v>
      </c>
      <c r="E202" s="771" t="s">
        <v>618</v>
      </c>
      <c r="F202" s="772"/>
      <c r="G202" s="772"/>
      <c r="H202" s="772"/>
      <c r="I202" s="773"/>
      <c r="J202" s="214" t="s">
        <v>330</v>
      </c>
      <c r="K202" s="56"/>
    </row>
    <row r="203" spans="1:11" s="27" customFormat="1" ht="25.5" x14ac:dyDescent="0.25">
      <c r="A203" s="15"/>
      <c r="B203" s="22" t="s">
        <v>305</v>
      </c>
      <c r="C203" s="25" t="s">
        <v>45</v>
      </c>
      <c r="D203" s="17">
        <v>2</v>
      </c>
      <c r="E203" s="860"/>
      <c r="F203" s="861"/>
      <c r="G203" s="861"/>
      <c r="H203" s="861"/>
      <c r="I203" s="862"/>
      <c r="J203" s="215"/>
      <c r="K203" s="56"/>
    </row>
    <row r="204" spans="1:11" s="27" customFormat="1" x14ac:dyDescent="0.25">
      <c r="A204" s="15"/>
      <c r="B204" s="22" t="s">
        <v>331</v>
      </c>
      <c r="C204" s="25" t="s">
        <v>45</v>
      </c>
      <c r="D204" s="17">
        <v>1</v>
      </c>
      <c r="E204" s="860"/>
      <c r="F204" s="861"/>
      <c r="G204" s="861"/>
      <c r="H204" s="861"/>
      <c r="I204" s="862"/>
      <c r="J204" s="215"/>
      <c r="K204" s="56"/>
    </row>
    <row r="205" spans="1:11" s="27" customFormat="1" x14ac:dyDescent="0.25">
      <c r="A205" s="15"/>
      <c r="B205" s="22" t="s">
        <v>332</v>
      </c>
      <c r="C205" s="25"/>
      <c r="D205" s="17"/>
      <c r="E205" s="860"/>
      <c r="F205" s="861"/>
      <c r="G205" s="861"/>
      <c r="H205" s="861"/>
      <c r="I205" s="862"/>
      <c r="J205" s="215" t="s">
        <v>333</v>
      </c>
      <c r="K205" s="56"/>
    </row>
    <row r="206" spans="1:11" s="27" customFormat="1" x14ac:dyDescent="0.25">
      <c r="A206" s="15"/>
      <c r="B206" s="22" t="s">
        <v>334</v>
      </c>
      <c r="C206" s="25" t="s">
        <v>45</v>
      </c>
      <c r="D206" s="17">
        <v>1</v>
      </c>
      <c r="E206" s="860"/>
      <c r="F206" s="861"/>
      <c r="G206" s="861"/>
      <c r="H206" s="861"/>
      <c r="I206" s="862"/>
      <c r="J206" s="215"/>
      <c r="K206" s="56"/>
    </row>
    <row r="207" spans="1:11" s="27" customFormat="1" x14ac:dyDescent="0.25">
      <c r="A207" s="15"/>
      <c r="B207" s="22" t="s">
        <v>335</v>
      </c>
      <c r="C207" s="25" t="s">
        <v>45</v>
      </c>
      <c r="D207" s="17">
        <v>1</v>
      </c>
      <c r="E207" s="860"/>
      <c r="F207" s="861"/>
      <c r="G207" s="861"/>
      <c r="H207" s="861"/>
      <c r="I207" s="862"/>
      <c r="J207" s="215"/>
      <c r="K207" s="56"/>
    </row>
    <row r="208" spans="1:11" s="27" customFormat="1" x14ac:dyDescent="0.25">
      <c r="A208" s="15"/>
      <c r="B208" s="22" t="s">
        <v>336</v>
      </c>
      <c r="C208" s="25" t="s">
        <v>45</v>
      </c>
      <c r="D208" s="17">
        <v>1</v>
      </c>
      <c r="E208" s="860"/>
      <c r="F208" s="861"/>
      <c r="G208" s="861"/>
      <c r="H208" s="861"/>
      <c r="I208" s="862"/>
      <c r="J208" s="215"/>
      <c r="K208" s="56"/>
    </row>
    <row r="209" spans="1:11" s="27" customFormat="1" x14ac:dyDescent="0.25">
      <c r="A209" s="15"/>
      <c r="B209" s="22" t="s">
        <v>337</v>
      </c>
      <c r="C209" s="25" t="s">
        <v>45</v>
      </c>
      <c r="D209" s="17">
        <v>1</v>
      </c>
      <c r="E209" s="860"/>
      <c r="F209" s="861"/>
      <c r="G209" s="861"/>
      <c r="H209" s="861"/>
      <c r="I209" s="862"/>
      <c r="J209" s="215"/>
      <c r="K209" s="56"/>
    </row>
    <row r="210" spans="1:11" s="27" customFormat="1" x14ac:dyDescent="0.25">
      <c r="A210" s="15"/>
      <c r="B210" s="22" t="s">
        <v>338</v>
      </c>
      <c r="C210" s="25" t="s">
        <v>45</v>
      </c>
      <c r="D210" s="17">
        <v>1</v>
      </c>
      <c r="E210" s="860"/>
      <c r="F210" s="861"/>
      <c r="G210" s="861"/>
      <c r="H210" s="861"/>
      <c r="I210" s="862"/>
      <c r="J210" s="215" t="s">
        <v>333</v>
      </c>
      <c r="K210" s="56"/>
    </row>
    <row r="211" spans="1:11" s="27" customFormat="1" x14ac:dyDescent="0.25">
      <c r="A211" s="15"/>
      <c r="B211" s="22" t="s">
        <v>339</v>
      </c>
      <c r="C211" s="25" t="s">
        <v>45</v>
      </c>
      <c r="D211" s="17">
        <v>1</v>
      </c>
      <c r="E211" s="860"/>
      <c r="F211" s="861"/>
      <c r="G211" s="861"/>
      <c r="H211" s="861"/>
      <c r="I211" s="862"/>
      <c r="J211" s="215"/>
      <c r="K211" s="56"/>
    </row>
    <row r="212" spans="1:11" s="27" customFormat="1" x14ac:dyDescent="0.25">
      <c r="A212" s="15"/>
      <c r="B212" s="22" t="s">
        <v>340</v>
      </c>
      <c r="C212" s="25" t="s">
        <v>45</v>
      </c>
      <c r="D212" s="17">
        <v>1</v>
      </c>
      <c r="E212" s="860"/>
      <c r="F212" s="861"/>
      <c r="G212" s="861"/>
      <c r="H212" s="861"/>
      <c r="I212" s="862"/>
      <c r="J212" s="215"/>
      <c r="K212" s="56"/>
    </row>
    <row r="213" spans="1:11" s="27" customFormat="1" x14ac:dyDescent="0.25">
      <c r="A213" s="15"/>
      <c r="B213" s="22" t="s">
        <v>341</v>
      </c>
      <c r="C213" s="25" t="s">
        <v>45</v>
      </c>
      <c r="D213" s="17">
        <v>1</v>
      </c>
      <c r="E213" s="860"/>
      <c r="F213" s="861"/>
      <c r="G213" s="861"/>
      <c r="H213" s="861"/>
      <c r="I213" s="862"/>
      <c r="J213" s="215"/>
      <c r="K213" s="56"/>
    </row>
    <row r="214" spans="1:11" s="27" customFormat="1" x14ac:dyDescent="0.25">
      <c r="A214" s="15"/>
      <c r="B214" s="22" t="s">
        <v>342</v>
      </c>
      <c r="C214" s="25" t="s">
        <v>45</v>
      </c>
      <c r="D214" s="17">
        <v>4</v>
      </c>
      <c r="E214" s="860"/>
      <c r="F214" s="861"/>
      <c r="G214" s="861"/>
      <c r="H214" s="861"/>
      <c r="I214" s="862"/>
      <c r="J214" s="215"/>
      <c r="K214" s="56"/>
    </row>
    <row r="215" spans="1:11" s="27" customFormat="1" x14ac:dyDescent="0.25">
      <c r="A215" s="15"/>
      <c r="B215" s="22" t="s">
        <v>343</v>
      </c>
      <c r="C215" s="25" t="s">
        <v>45</v>
      </c>
      <c r="D215" s="17">
        <v>4</v>
      </c>
      <c r="E215" s="860"/>
      <c r="F215" s="861"/>
      <c r="G215" s="861"/>
      <c r="H215" s="861"/>
      <c r="I215" s="862"/>
      <c r="J215" s="215"/>
      <c r="K215" s="56"/>
    </row>
    <row r="216" spans="1:11" s="27" customFormat="1" x14ac:dyDescent="0.25">
      <c r="A216" s="15"/>
      <c r="B216" s="22" t="s">
        <v>344</v>
      </c>
      <c r="C216" s="25" t="s">
        <v>45</v>
      </c>
      <c r="D216" s="17">
        <v>1</v>
      </c>
      <c r="E216" s="860"/>
      <c r="F216" s="861"/>
      <c r="G216" s="861"/>
      <c r="H216" s="861"/>
      <c r="I216" s="862"/>
      <c r="J216" s="215"/>
      <c r="K216" s="56"/>
    </row>
    <row r="217" spans="1:11" s="27" customFormat="1" x14ac:dyDescent="0.25">
      <c r="A217" s="15"/>
      <c r="B217" s="22" t="s">
        <v>345</v>
      </c>
      <c r="C217" s="25" t="s">
        <v>45</v>
      </c>
      <c r="D217" s="17">
        <v>1</v>
      </c>
      <c r="E217" s="860"/>
      <c r="F217" s="861"/>
      <c r="G217" s="861"/>
      <c r="H217" s="861"/>
      <c r="I217" s="862"/>
      <c r="J217" s="215"/>
      <c r="K217" s="56"/>
    </row>
    <row r="218" spans="1:11" s="27" customFormat="1" x14ac:dyDescent="0.25">
      <c r="A218" s="15"/>
      <c r="B218" s="22" t="s">
        <v>346</v>
      </c>
      <c r="C218" s="25" t="s">
        <v>45</v>
      </c>
      <c r="D218" s="17">
        <v>4</v>
      </c>
      <c r="E218" s="860"/>
      <c r="F218" s="861"/>
      <c r="G218" s="861"/>
      <c r="H218" s="861"/>
      <c r="I218" s="862"/>
      <c r="J218" s="215"/>
      <c r="K218" s="56"/>
    </row>
    <row r="219" spans="1:11" s="27" customFormat="1" ht="25.5" x14ac:dyDescent="0.25">
      <c r="A219" s="15"/>
      <c r="B219" s="22" t="s">
        <v>347</v>
      </c>
      <c r="C219" s="25" t="s">
        <v>60</v>
      </c>
      <c r="D219" s="17">
        <v>2</v>
      </c>
      <c r="E219" s="860"/>
      <c r="F219" s="861"/>
      <c r="G219" s="861"/>
      <c r="H219" s="861"/>
      <c r="I219" s="862"/>
      <c r="J219" s="215" t="s">
        <v>333</v>
      </c>
      <c r="K219" s="56"/>
    </row>
    <row r="220" spans="1:11" s="27" customFormat="1" ht="25.5" x14ac:dyDescent="0.25">
      <c r="A220" s="15"/>
      <c r="B220" s="22" t="s">
        <v>348</v>
      </c>
      <c r="C220" s="25" t="s">
        <v>60</v>
      </c>
      <c r="D220" s="17">
        <v>2</v>
      </c>
      <c r="E220" s="860"/>
      <c r="F220" s="861"/>
      <c r="G220" s="861"/>
      <c r="H220" s="861"/>
      <c r="I220" s="862"/>
      <c r="J220" s="215"/>
      <c r="K220" s="56"/>
    </row>
    <row r="221" spans="1:11" s="27" customFormat="1" x14ac:dyDescent="0.25">
      <c r="A221" s="15"/>
      <c r="B221" s="22" t="s">
        <v>349</v>
      </c>
      <c r="C221" s="25" t="s">
        <v>60</v>
      </c>
      <c r="D221" s="17">
        <v>20</v>
      </c>
      <c r="E221" s="860"/>
      <c r="F221" s="861"/>
      <c r="G221" s="861"/>
      <c r="H221" s="861"/>
      <c r="I221" s="862"/>
      <c r="J221" s="215" t="s">
        <v>350</v>
      </c>
      <c r="K221" s="56"/>
    </row>
    <row r="222" spans="1:11" s="27" customFormat="1" x14ac:dyDescent="0.25">
      <c r="A222" s="15"/>
      <c r="B222" s="22" t="s">
        <v>351</v>
      </c>
      <c r="C222" s="25" t="s">
        <v>60</v>
      </c>
      <c r="D222" s="17">
        <v>20</v>
      </c>
      <c r="E222" s="860"/>
      <c r="F222" s="861"/>
      <c r="G222" s="861"/>
      <c r="H222" s="861"/>
      <c r="I222" s="862"/>
      <c r="J222" s="215"/>
      <c r="K222" s="56"/>
    </row>
    <row r="223" spans="1:11" s="27" customFormat="1" x14ac:dyDescent="0.25">
      <c r="A223" s="15"/>
      <c r="B223" s="22" t="s">
        <v>352</v>
      </c>
      <c r="C223" s="25" t="s">
        <v>276</v>
      </c>
      <c r="D223" s="17">
        <v>1</v>
      </c>
      <c r="E223" s="860"/>
      <c r="F223" s="861"/>
      <c r="G223" s="861"/>
      <c r="H223" s="861"/>
      <c r="I223" s="862"/>
      <c r="J223" s="215"/>
      <c r="K223" s="56"/>
    </row>
    <row r="224" spans="1:11" s="27" customFormat="1" x14ac:dyDescent="0.25">
      <c r="A224" s="15"/>
      <c r="B224" s="22" t="s">
        <v>353</v>
      </c>
      <c r="C224" s="25" t="s">
        <v>276</v>
      </c>
      <c r="D224" s="17">
        <v>1</v>
      </c>
      <c r="E224" s="860"/>
      <c r="F224" s="861"/>
      <c r="G224" s="861"/>
      <c r="H224" s="861"/>
      <c r="I224" s="862"/>
      <c r="J224" s="215"/>
      <c r="K224" s="56"/>
    </row>
    <row r="225" spans="1:11" s="27" customFormat="1" x14ac:dyDescent="0.25">
      <c r="A225" s="15"/>
      <c r="B225" s="22" t="s">
        <v>354</v>
      </c>
      <c r="C225" s="25" t="s">
        <v>276</v>
      </c>
      <c r="D225" s="17">
        <v>1</v>
      </c>
      <c r="E225" s="860"/>
      <c r="F225" s="861"/>
      <c r="G225" s="861"/>
      <c r="H225" s="861"/>
      <c r="I225" s="862"/>
      <c r="J225" s="215"/>
      <c r="K225" s="56"/>
    </row>
    <row r="226" spans="1:11" s="27" customFormat="1" x14ac:dyDescent="0.25">
      <c r="A226" s="15"/>
      <c r="B226" s="22" t="s">
        <v>355</v>
      </c>
      <c r="C226" s="25" t="s">
        <v>60</v>
      </c>
      <c r="D226" s="17">
        <v>20</v>
      </c>
      <c r="E226" s="860"/>
      <c r="F226" s="861"/>
      <c r="G226" s="861"/>
      <c r="H226" s="861"/>
      <c r="I226" s="862"/>
      <c r="J226" s="215"/>
      <c r="K226" s="56"/>
    </row>
    <row r="227" spans="1:11" s="27" customFormat="1" x14ac:dyDescent="0.25">
      <c r="A227" s="15"/>
      <c r="B227" s="22" t="s">
        <v>356</v>
      </c>
      <c r="C227" s="25" t="s">
        <v>276</v>
      </c>
      <c r="D227" s="17">
        <v>20</v>
      </c>
      <c r="E227" s="860"/>
      <c r="F227" s="861"/>
      <c r="G227" s="861"/>
      <c r="H227" s="861"/>
      <c r="I227" s="862"/>
      <c r="J227" s="215"/>
      <c r="K227" s="56"/>
    </row>
    <row r="228" spans="1:11" s="27" customFormat="1" x14ac:dyDescent="0.25">
      <c r="A228" s="15"/>
      <c r="B228" s="22" t="s">
        <v>357</v>
      </c>
      <c r="C228" s="25" t="s">
        <v>276</v>
      </c>
      <c r="D228" s="17">
        <v>10</v>
      </c>
      <c r="E228" s="860"/>
      <c r="F228" s="861"/>
      <c r="G228" s="861"/>
      <c r="H228" s="861"/>
      <c r="I228" s="862"/>
      <c r="J228" s="215"/>
      <c r="K228" s="56"/>
    </row>
    <row r="229" spans="1:11" s="27" customFormat="1" x14ac:dyDescent="0.25">
      <c r="A229" s="15"/>
      <c r="B229" s="22" t="s">
        <v>358</v>
      </c>
      <c r="C229" s="25" t="s">
        <v>276</v>
      </c>
      <c r="D229" s="17">
        <v>1</v>
      </c>
      <c r="E229" s="860"/>
      <c r="F229" s="861"/>
      <c r="G229" s="861"/>
      <c r="H229" s="861"/>
      <c r="I229" s="862"/>
      <c r="J229" s="215"/>
      <c r="K229" s="56"/>
    </row>
    <row r="230" spans="1:11" s="27" customFormat="1" x14ac:dyDescent="0.25">
      <c r="A230" s="15"/>
      <c r="B230" s="22" t="s">
        <v>359</v>
      </c>
      <c r="C230" s="25" t="s">
        <v>276</v>
      </c>
      <c r="D230" s="17">
        <v>12</v>
      </c>
      <c r="E230" s="860"/>
      <c r="F230" s="861"/>
      <c r="G230" s="861"/>
      <c r="H230" s="861"/>
      <c r="I230" s="862"/>
      <c r="J230" s="215"/>
      <c r="K230" s="56"/>
    </row>
    <row r="231" spans="1:11" s="27" customFormat="1" x14ac:dyDescent="0.25">
      <c r="A231" s="15"/>
      <c r="B231" s="22" t="s">
        <v>360</v>
      </c>
      <c r="C231" s="25" t="s">
        <v>60</v>
      </c>
      <c r="D231" s="17">
        <v>20</v>
      </c>
      <c r="E231" s="860"/>
      <c r="F231" s="861"/>
      <c r="G231" s="861"/>
      <c r="H231" s="861"/>
      <c r="I231" s="862"/>
      <c r="J231" s="215"/>
      <c r="K231" s="56"/>
    </row>
    <row r="232" spans="1:11" s="27" customFormat="1" ht="25.5" x14ac:dyDescent="0.25">
      <c r="A232" s="15"/>
      <c r="B232" s="22" t="s">
        <v>361</v>
      </c>
      <c r="C232" s="25" t="s">
        <v>276</v>
      </c>
      <c r="D232" s="17">
        <v>1</v>
      </c>
      <c r="E232" s="774"/>
      <c r="F232" s="775"/>
      <c r="G232" s="775"/>
      <c r="H232" s="775"/>
      <c r="I232" s="776"/>
      <c r="J232" s="215" t="s">
        <v>362</v>
      </c>
      <c r="K232" s="56"/>
    </row>
    <row r="233" spans="1:11" s="27" customFormat="1" x14ac:dyDescent="0.25">
      <c r="A233" s="10" t="s">
        <v>111</v>
      </c>
      <c r="B233" s="21" t="s">
        <v>364</v>
      </c>
      <c r="C233" s="23" t="s">
        <v>60</v>
      </c>
      <c r="D233" s="24">
        <v>30</v>
      </c>
      <c r="E233" s="26"/>
      <c r="F233" s="26"/>
      <c r="G233" s="26"/>
      <c r="H233" s="26"/>
      <c r="I233" s="26"/>
      <c r="J233" s="214"/>
      <c r="K233" s="56"/>
    </row>
    <row r="234" spans="1:11" s="27" customFormat="1" x14ac:dyDescent="0.25">
      <c r="A234" s="15"/>
      <c r="B234" s="22" t="s">
        <v>365</v>
      </c>
      <c r="C234" s="25" t="s">
        <v>60</v>
      </c>
      <c r="D234" s="25">
        <v>30</v>
      </c>
      <c r="E234" s="19"/>
      <c r="F234" s="19"/>
      <c r="G234" s="19"/>
      <c r="H234" s="19"/>
      <c r="I234" s="19"/>
      <c r="J234" s="215" t="s">
        <v>366</v>
      </c>
      <c r="K234" s="56"/>
    </row>
    <row r="235" spans="1:11" s="27" customFormat="1" x14ac:dyDescent="0.25">
      <c r="A235" s="10" t="s">
        <v>112</v>
      </c>
      <c r="B235" s="21" t="s">
        <v>368</v>
      </c>
      <c r="C235" s="23" t="s">
        <v>60</v>
      </c>
      <c r="D235" s="24">
        <v>9.1</v>
      </c>
      <c r="E235" s="26"/>
      <c r="F235" s="26"/>
      <c r="G235" s="26"/>
      <c r="H235" s="26"/>
      <c r="I235" s="26"/>
      <c r="J235" s="214"/>
      <c r="K235" s="56"/>
    </row>
    <row r="236" spans="1:11" s="27" customFormat="1" x14ac:dyDescent="0.25">
      <c r="A236" s="15"/>
      <c r="B236" s="22" t="s">
        <v>369</v>
      </c>
      <c r="C236" s="25" t="s">
        <v>60</v>
      </c>
      <c r="D236" s="25">
        <v>9.1</v>
      </c>
      <c r="E236" s="19"/>
      <c r="F236" s="19"/>
      <c r="G236" s="19"/>
      <c r="H236" s="19"/>
      <c r="I236" s="19"/>
      <c r="J236" s="215"/>
      <c r="K236" s="56"/>
    </row>
    <row r="237" spans="1:11" s="27" customFormat="1" x14ac:dyDescent="0.25">
      <c r="A237" s="10" t="s">
        <v>113</v>
      </c>
      <c r="B237" s="21" t="s">
        <v>371</v>
      </c>
      <c r="C237" s="23" t="s">
        <v>60</v>
      </c>
      <c r="D237" s="23">
        <v>4</v>
      </c>
      <c r="E237" s="26"/>
      <c r="F237" s="26"/>
      <c r="G237" s="26"/>
      <c r="H237" s="26"/>
      <c r="I237" s="26"/>
      <c r="J237" s="214"/>
      <c r="K237" s="56"/>
    </row>
    <row r="238" spans="1:11" s="27" customFormat="1" x14ac:dyDescent="0.25">
      <c r="A238" s="15"/>
      <c r="B238" s="22" t="s">
        <v>372</v>
      </c>
      <c r="C238" s="25" t="s">
        <v>60</v>
      </c>
      <c r="D238" s="25">
        <v>4</v>
      </c>
      <c r="E238" s="19"/>
      <c r="F238" s="19"/>
      <c r="G238" s="19"/>
      <c r="H238" s="19"/>
      <c r="I238" s="19"/>
      <c r="J238" s="215" t="s">
        <v>296</v>
      </c>
      <c r="K238" s="56"/>
    </row>
    <row r="239" spans="1:11" s="27" customFormat="1" x14ac:dyDescent="0.25">
      <c r="A239" s="10" t="s">
        <v>114</v>
      </c>
      <c r="B239" s="21" t="s">
        <v>374</v>
      </c>
      <c r="C239" s="23" t="s">
        <v>89</v>
      </c>
      <c r="D239" s="24">
        <v>23.7</v>
      </c>
      <c r="E239" s="26"/>
      <c r="F239" s="26"/>
      <c r="G239" s="26"/>
      <c r="H239" s="26"/>
      <c r="I239" s="26"/>
      <c r="J239" s="214"/>
      <c r="K239" s="56"/>
    </row>
    <row r="240" spans="1:11" s="27" customFormat="1" x14ac:dyDescent="0.25">
      <c r="A240" s="15"/>
      <c r="B240" s="22" t="s">
        <v>375</v>
      </c>
      <c r="C240" s="25" t="s">
        <v>89</v>
      </c>
      <c r="D240" s="17">
        <v>23.7</v>
      </c>
      <c r="E240" s="19"/>
      <c r="F240" s="19"/>
      <c r="G240" s="19"/>
      <c r="H240" s="19"/>
      <c r="I240" s="19"/>
      <c r="J240" s="215"/>
      <c r="K240" s="56"/>
    </row>
    <row r="241" spans="1:11" s="27" customFormat="1" x14ac:dyDescent="0.25">
      <c r="A241" s="120" t="s">
        <v>46</v>
      </c>
      <c r="B241" s="130" t="s">
        <v>575</v>
      </c>
      <c r="C241" s="134"/>
      <c r="D241" s="135"/>
      <c r="E241" s="136"/>
      <c r="F241" s="136"/>
      <c r="G241" s="136"/>
      <c r="H241" s="136"/>
      <c r="I241" s="136"/>
      <c r="J241" s="218"/>
      <c r="K241" s="56"/>
    </row>
    <row r="242" spans="1:11" s="63" customFormat="1" x14ac:dyDescent="0.25">
      <c r="A242" s="148"/>
      <c r="B242" s="149" t="s">
        <v>376</v>
      </c>
      <c r="C242" s="149"/>
      <c r="D242" s="149"/>
      <c r="E242" s="149"/>
      <c r="F242" s="149"/>
      <c r="G242" s="149"/>
      <c r="H242" s="149"/>
      <c r="I242" s="149"/>
      <c r="J242" s="219"/>
      <c r="K242" s="65"/>
    </row>
    <row r="243" spans="1:11" s="27" customFormat="1" x14ac:dyDescent="0.2">
      <c r="A243" s="66" t="s">
        <v>377</v>
      </c>
      <c r="B243" s="50" t="s">
        <v>378</v>
      </c>
      <c r="C243" s="28" t="s">
        <v>89</v>
      </c>
      <c r="D243" s="48">
        <v>1624.7</v>
      </c>
      <c r="E243" s="777" t="s">
        <v>614</v>
      </c>
      <c r="F243" s="778"/>
      <c r="G243" s="778"/>
      <c r="H243" s="778"/>
      <c r="I243" s="779"/>
      <c r="J243" s="220"/>
      <c r="K243" s="56"/>
    </row>
    <row r="244" spans="1:11" s="27" customFormat="1" x14ac:dyDescent="0.25">
      <c r="A244" s="66" t="s">
        <v>379</v>
      </c>
      <c r="B244" s="50" t="s">
        <v>380</v>
      </c>
      <c r="C244" s="67" t="s">
        <v>0</v>
      </c>
      <c r="D244" s="68">
        <v>175</v>
      </c>
      <c r="E244" s="56"/>
      <c r="F244" s="56"/>
      <c r="G244" s="56"/>
      <c r="H244" s="56"/>
      <c r="I244" s="56"/>
      <c r="J244" s="214"/>
      <c r="K244" s="56"/>
    </row>
    <row r="245" spans="1:11" s="27" customFormat="1" x14ac:dyDescent="0.25">
      <c r="A245" s="67"/>
      <c r="B245" s="69" t="s">
        <v>381</v>
      </c>
      <c r="C245" s="70" t="s">
        <v>0</v>
      </c>
      <c r="D245" s="71">
        <v>175</v>
      </c>
      <c r="E245" s="56"/>
      <c r="F245" s="56"/>
      <c r="G245" s="56"/>
      <c r="H245" s="56"/>
      <c r="I245" s="56"/>
      <c r="J245" s="214"/>
      <c r="K245" s="56"/>
    </row>
    <row r="246" spans="1:11" s="27" customFormat="1" x14ac:dyDescent="0.25">
      <c r="A246" s="66" t="s">
        <v>382</v>
      </c>
      <c r="B246" s="50" t="s">
        <v>383</v>
      </c>
      <c r="C246" s="67" t="s">
        <v>0</v>
      </c>
      <c r="D246" s="68">
        <v>85</v>
      </c>
      <c r="E246" s="56"/>
      <c r="F246" s="56"/>
      <c r="G246" s="56"/>
      <c r="H246" s="56"/>
      <c r="I246" s="56"/>
      <c r="J246" s="214"/>
      <c r="K246" s="56"/>
    </row>
    <row r="247" spans="1:11" s="27" customFormat="1" x14ac:dyDescent="0.25">
      <c r="A247" s="67"/>
      <c r="B247" s="69" t="s">
        <v>384</v>
      </c>
      <c r="C247" s="70" t="s">
        <v>0</v>
      </c>
      <c r="D247" s="71">
        <v>86.7</v>
      </c>
      <c r="E247" s="51"/>
      <c r="F247" s="51"/>
      <c r="G247" s="51"/>
      <c r="H247" s="51"/>
      <c r="I247" s="51"/>
      <c r="J247" s="260" t="s">
        <v>385</v>
      </c>
      <c r="K247" s="56">
        <v>1.0149999999999999</v>
      </c>
    </row>
    <row r="248" spans="1:11" s="27" customFormat="1" ht="25.5" x14ac:dyDescent="0.2">
      <c r="A248" s="66" t="s">
        <v>386</v>
      </c>
      <c r="B248" s="50" t="s">
        <v>387</v>
      </c>
      <c r="C248" s="28" t="s">
        <v>388</v>
      </c>
      <c r="D248" s="48">
        <v>1</v>
      </c>
      <c r="E248" s="777" t="s">
        <v>615</v>
      </c>
      <c r="F248" s="778"/>
      <c r="G248" s="778"/>
      <c r="H248" s="778"/>
      <c r="I248" s="779"/>
      <c r="J248" s="214"/>
      <c r="K248" s="56"/>
    </row>
    <row r="249" spans="1:11" s="27" customFormat="1" x14ac:dyDescent="0.2">
      <c r="A249" s="67"/>
      <c r="B249" s="69" t="s">
        <v>389</v>
      </c>
      <c r="C249" s="70" t="s">
        <v>390</v>
      </c>
      <c r="D249" s="71">
        <v>205</v>
      </c>
      <c r="E249" s="777" t="s">
        <v>615</v>
      </c>
      <c r="F249" s="778"/>
      <c r="G249" s="778"/>
      <c r="H249" s="778"/>
      <c r="I249" s="779"/>
      <c r="J249" s="214"/>
      <c r="K249" s="56"/>
    </row>
    <row r="250" spans="1:11" s="27" customFormat="1" x14ac:dyDescent="0.2">
      <c r="A250" s="67"/>
      <c r="B250" s="69" t="s">
        <v>391</v>
      </c>
      <c r="C250" s="70" t="s">
        <v>390</v>
      </c>
      <c r="D250" s="71">
        <v>50</v>
      </c>
      <c r="E250" s="777" t="s">
        <v>615</v>
      </c>
      <c r="F250" s="778"/>
      <c r="G250" s="778"/>
      <c r="H250" s="778"/>
      <c r="I250" s="779"/>
      <c r="J250" s="214"/>
      <c r="K250" s="56"/>
    </row>
    <row r="251" spans="1:11" s="180" customFormat="1" x14ac:dyDescent="0.2">
      <c r="A251" s="175"/>
      <c r="B251" s="191" t="s">
        <v>392</v>
      </c>
      <c r="C251" s="185" t="s">
        <v>0</v>
      </c>
      <c r="D251" s="181">
        <v>0.2</v>
      </c>
      <c r="E251" s="777" t="s">
        <v>615</v>
      </c>
      <c r="F251" s="778"/>
      <c r="G251" s="778"/>
      <c r="H251" s="778"/>
      <c r="I251" s="779"/>
      <c r="J251" s="221"/>
      <c r="K251" s="179"/>
    </row>
    <row r="252" spans="1:11" s="27" customFormat="1" x14ac:dyDescent="0.2">
      <c r="A252" s="67"/>
      <c r="B252" s="69" t="s">
        <v>393</v>
      </c>
      <c r="C252" s="70" t="s">
        <v>390</v>
      </c>
      <c r="D252" s="71">
        <v>205</v>
      </c>
      <c r="E252" s="777" t="s">
        <v>615</v>
      </c>
      <c r="F252" s="778"/>
      <c r="G252" s="778"/>
      <c r="H252" s="778"/>
      <c r="I252" s="779"/>
      <c r="J252" s="215" t="s">
        <v>394</v>
      </c>
      <c r="K252" s="56"/>
    </row>
    <row r="253" spans="1:11" s="27" customFormat="1" x14ac:dyDescent="0.2">
      <c r="A253" s="67"/>
      <c r="B253" s="69" t="s">
        <v>395</v>
      </c>
      <c r="C253" s="70" t="s">
        <v>0</v>
      </c>
      <c r="D253" s="71">
        <v>7.12</v>
      </c>
      <c r="E253" s="777" t="s">
        <v>615</v>
      </c>
      <c r="F253" s="778"/>
      <c r="G253" s="778"/>
      <c r="H253" s="778"/>
      <c r="I253" s="779"/>
      <c r="J253" s="215" t="s">
        <v>396</v>
      </c>
      <c r="K253" s="56"/>
    </row>
    <row r="254" spans="1:11" s="27" customFormat="1" x14ac:dyDescent="0.25">
      <c r="A254" s="66" t="s">
        <v>397</v>
      </c>
      <c r="B254" s="50" t="s">
        <v>398</v>
      </c>
      <c r="C254" s="28" t="s">
        <v>33</v>
      </c>
      <c r="D254" s="48">
        <v>301.20999999999998</v>
      </c>
      <c r="E254" s="56"/>
      <c r="F254" s="56"/>
      <c r="G254" s="56"/>
      <c r="H254" s="56"/>
      <c r="I254" s="56"/>
      <c r="J254" s="220"/>
      <c r="K254" s="753" t="s">
        <v>628</v>
      </c>
    </row>
    <row r="255" spans="1:11" s="27" customFormat="1" x14ac:dyDescent="0.25">
      <c r="A255" s="67"/>
      <c r="B255" s="69" t="s">
        <v>399</v>
      </c>
      <c r="C255" s="70" t="s">
        <v>33</v>
      </c>
      <c r="D255" s="71">
        <v>0.01</v>
      </c>
      <c r="E255" s="56"/>
      <c r="F255" s="56"/>
      <c r="G255" s="56"/>
      <c r="H255" s="56"/>
      <c r="I255" s="215"/>
      <c r="J255" s="217" t="s">
        <v>400</v>
      </c>
      <c r="K255" s="754"/>
    </row>
    <row r="256" spans="1:11" s="27" customFormat="1" x14ac:dyDescent="0.25">
      <c r="A256" s="67"/>
      <c r="B256" s="69" t="s">
        <v>401</v>
      </c>
      <c r="C256" s="70" t="s">
        <v>33</v>
      </c>
      <c r="D256" s="71">
        <v>31.29</v>
      </c>
      <c r="E256" s="56">
        <v>29.728000000000002</v>
      </c>
      <c r="F256" s="56"/>
      <c r="G256" s="56"/>
      <c r="H256" s="56"/>
      <c r="I256" s="215"/>
      <c r="J256" s="217" t="s">
        <v>400</v>
      </c>
      <c r="K256" s="754"/>
    </row>
    <row r="257" spans="1:11" s="27" customFormat="1" x14ac:dyDescent="0.25">
      <c r="A257" s="67"/>
      <c r="B257" s="69" t="s">
        <v>402</v>
      </c>
      <c r="C257" s="70" t="s">
        <v>33</v>
      </c>
      <c r="D257" s="71">
        <v>15.58</v>
      </c>
      <c r="E257" s="56">
        <v>14.837999999999999</v>
      </c>
      <c r="F257" s="56"/>
      <c r="G257" s="56"/>
      <c r="H257" s="56"/>
      <c r="I257" s="215"/>
      <c r="J257" s="217" t="s">
        <v>400</v>
      </c>
      <c r="K257" s="754"/>
    </row>
    <row r="258" spans="1:11" s="27" customFormat="1" x14ac:dyDescent="0.25">
      <c r="A258" s="67"/>
      <c r="B258" s="69" t="s">
        <v>403</v>
      </c>
      <c r="C258" s="70" t="s">
        <v>33</v>
      </c>
      <c r="D258" s="71">
        <v>7.28</v>
      </c>
      <c r="E258" s="56">
        <v>6.9340000000000002</v>
      </c>
      <c r="F258" s="56"/>
      <c r="G258" s="56"/>
      <c r="H258" s="56"/>
      <c r="I258" s="215"/>
      <c r="J258" s="217" t="s">
        <v>400</v>
      </c>
      <c r="K258" s="754"/>
    </row>
    <row r="259" spans="1:11" s="27" customFormat="1" x14ac:dyDescent="0.25">
      <c r="A259" s="67"/>
      <c r="B259" s="69" t="s">
        <v>404</v>
      </c>
      <c r="C259" s="70" t="s">
        <v>33</v>
      </c>
      <c r="D259" s="71">
        <v>4.47</v>
      </c>
      <c r="E259" s="56">
        <v>4.2569999999999997</v>
      </c>
      <c r="F259" s="56"/>
      <c r="G259" s="56"/>
      <c r="H259" s="56"/>
      <c r="I259" s="215"/>
      <c r="J259" s="217" t="s">
        <v>400</v>
      </c>
      <c r="K259" s="754"/>
    </row>
    <row r="260" spans="1:11" s="27" customFormat="1" x14ac:dyDescent="0.25">
      <c r="A260" s="67"/>
      <c r="B260" s="69" t="s">
        <v>405</v>
      </c>
      <c r="C260" s="70" t="s">
        <v>33</v>
      </c>
      <c r="D260" s="71">
        <v>0.09</v>
      </c>
      <c r="E260" s="56">
        <v>0.09</v>
      </c>
      <c r="F260" s="56"/>
      <c r="G260" s="56"/>
      <c r="H260" s="56"/>
      <c r="I260" s="215"/>
      <c r="J260" s="217" t="s">
        <v>400</v>
      </c>
      <c r="K260" s="754"/>
    </row>
    <row r="261" spans="1:11" s="27" customFormat="1" x14ac:dyDescent="0.25">
      <c r="A261" s="67"/>
      <c r="B261" s="69" t="s">
        <v>406</v>
      </c>
      <c r="C261" s="70" t="s">
        <v>33</v>
      </c>
      <c r="D261" s="71">
        <v>10.55</v>
      </c>
      <c r="E261" s="56">
        <v>10.044</v>
      </c>
      <c r="F261" s="56"/>
      <c r="G261" s="56"/>
      <c r="H261" s="56"/>
      <c r="I261" s="215"/>
      <c r="J261" s="217" t="s">
        <v>400</v>
      </c>
      <c r="K261" s="754"/>
    </row>
    <row r="262" spans="1:11" s="27" customFormat="1" x14ac:dyDescent="0.25">
      <c r="A262" s="67"/>
      <c r="B262" s="72" t="s">
        <v>407</v>
      </c>
      <c r="C262" s="70" t="s">
        <v>33</v>
      </c>
      <c r="D262" s="71">
        <v>199.14</v>
      </c>
      <c r="E262" s="56">
        <v>189.654</v>
      </c>
      <c r="F262" s="56"/>
      <c r="G262" s="56"/>
      <c r="H262" s="56"/>
      <c r="I262" s="215"/>
      <c r="J262" s="217" t="s">
        <v>400</v>
      </c>
      <c r="K262" s="754"/>
    </row>
    <row r="263" spans="1:11" s="27" customFormat="1" x14ac:dyDescent="0.25">
      <c r="A263" s="67"/>
      <c r="B263" s="72" t="s">
        <v>408</v>
      </c>
      <c r="C263" s="70" t="s">
        <v>33</v>
      </c>
      <c r="D263" s="71">
        <v>4.22</v>
      </c>
      <c r="E263" s="56">
        <v>4.0170000000000003</v>
      </c>
      <c r="F263" s="56"/>
      <c r="G263" s="56"/>
      <c r="H263" s="56"/>
      <c r="I263" s="215"/>
      <c r="J263" s="217" t="s">
        <v>400</v>
      </c>
      <c r="K263" s="754"/>
    </row>
    <row r="264" spans="1:11" s="27" customFormat="1" x14ac:dyDescent="0.25">
      <c r="A264" s="67"/>
      <c r="B264" s="72" t="s">
        <v>409</v>
      </c>
      <c r="C264" s="70" t="s">
        <v>33</v>
      </c>
      <c r="D264" s="71">
        <v>28.58</v>
      </c>
      <c r="E264" s="56">
        <v>27.216999999999999</v>
      </c>
      <c r="F264" s="56"/>
      <c r="G264" s="56"/>
      <c r="H264" s="56"/>
      <c r="I264" s="215"/>
      <c r="J264" s="217" t="s">
        <v>400</v>
      </c>
      <c r="K264" s="754"/>
    </row>
    <row r="265" spans="1:11" s="27" customFormat="1" x14ac:dyDescent="0.25">
      <c r="A265" s="67"/>
      <c r="B265" s="69" t="s">
        <v>410</v>
      </c>
      <c r="C265" s="70" t="s">
        <v>92</v>
      </c>
      <c r="D265" s="71">
        <v>4.9800000000000004</v>
      </c>
      <c r="E265" s="56">
        <v>4.5199999999999996</v>
      </c>
      <c r="F265" s="56"/>
      <c r="G265" s="56"/>
      <c r="H265" s="56"/>
      <c r="I265" s="56"/>
      <c r="J265" s="215"/>
      <c r="K265" s="754"/>
    </row>
    <row r="266" spans="1:11" s="180" customFormat="1" x14ac:dyDescent="0.25">
      <c r="A266" s="175"/>
      <c r="B266" s="262" t="s">
        <v>411</v>
      </c>
      <c r="C266" s="263" t="s">
        <v>33</v>
      </c>
      <c r="D266" s="264">
        <v>3.01</v>
      </c>
      <c r="E266" s="265">
        <v>2.74</v>
      </c>
      <c r="F266" s="265"/>
      <c r="G266" s="265"/>
      <c r="H266" s="265"/>
      <c r="I266" s="265"/>
      <c r="J266" s="266" t="s">
        <v>633</v>
      </c>
      <c r="K266" s="754"/>
    </row>
    <row r="267" spans="1:11" s="27" customFormat="1" ht="12" customHeight="1" x14ac:dyDescent="0.25">
      <c r="A267" s="66" t="s">
        <v>412</v>
      </c>
      <c r="B267" s="50" t="s">
        <v>413</v>
      </c>
      <c r="C267" s="28" t="s">
        <v>0</v>
      </c>
      <c r="D267" s="48">
        <v>2017</v>
      </c>
      <c r="E267" s="56"/>
      <c r="F267" s="56"/>
      <c r="G267" s="56"/>
      <c r="H267" s="56"/>
      <c r="I267" s="56"/>
      <c r="J267" s="215"/>
      <c r="K267" s="755"/>
    </row>
    <row r="268" spans="1:11" s="27" customFormat="1" ht="36" customHeight="1" x14ac:dyDescent="0.25">
      <c r="A268" s="67"/>
      <c r="B268" s="73" t="s">
        <v>414</v>
      </c>
      <c r="C268" s="67" t="s">
        <v>0</v>
      </c>
      <c r="D268" s="68">
        <v>2057.3000000000002</v>
      </c>
      <c r="E268" s="821" t="s">
        <v>634</v>
      </c>
      <c r="F268" s="822"/>
      <c r="G268" s="822"/>
      <c r="H268" s="822"/>
      <c r="I268" s="823"/>
      <c r="J268" s="217" t="s">
        <v>415</v>
      </c>
      <c r="K268" s="56">
        <v>1.0149999999999999</v>
      </c>
    </row>
    <row r="269" spans="1:11" s="63" customFormat="1" x14ac:dyDescent="0.25">
      <c r="A269" s="150"/>
      <c r="B269" s="818" t="s">
        <v>416</v>
      </c>
      <c r="C269" s="819"/>
      <c r="D269" s="820"/>
      <c r="E269" s="149"/>
      <c r="F269" s="149"/>
      <c r="G269" s="149"/>
      <c r="H269" s="149"/>
      <c r="I269" s="149"/>
      <c r="J269" s="223"/>
      <c r="K269" s="65"/>
    </row>
    <row r="270" spans="1:11" s="27" customFormat="1" x14ac:dyDescent="0.2">
      <c r="A270" s="66" t="s">
        <v>448</v>
      </c>
      <c r="B270" s="50" t="s">
        <v>378</v>
      </c>
      <c r="C270" s="28" t="s">
        <v>89</v>
      </c>
      <c r="D270" s="48">
        <v>900</v>
      </c>
      <c r="E270" s="777" t="s">
        <v>614</v>
      </c>
      <c r="F270" s="778"/>
      <c r="G270" s="778"/>
      <c r="H270" s="778"/>
      <c r="I270" s="779"/>
      <c r="J270" s="224"/>
      <c r="K270" s="56"/>
    </row>
    <row r="271" spans="1:11" s="27" customFormat="1" x14ac:dyDescent="0.25">
      <c r="A271" s="66" t="s">
        <v>451</v>
      </c>
      <c r="B271" s="50" t="s">
        <v>419</v>
      </c>
      <c r="C271" s="28" t="s">
        <v>0</v>
      </c>
      <c r="D271" s="48">
        <v>90</v>
      </c>
      <c r="E271" s="56"/>
      <c r="F271" s="56"/>
      <c r="G271" s="56"/>
      <c r="H271" s="56"/>
      <c r="I271" s="56"/>
      <c r="J271" s="215"/>
      <c r="K271" s="56"/>
    </row>
    <row r="272" spans="1:11" s="27" customFormat="1" x14ac:dyDescent="0.25">
      <c r="A272" s="67"/>
      <c r="B272" s="69" t="s">
        <v>381</v>
      </c>
      <c r="C272" s="70" t="s">
        <v>0</v>
      </c>
      <c r="D272" s="74">
        <v>91.8</v>
      </c>
      <c r="E272" s="75"/>
      <c r="F272" s="75"/>
      <c r="G272" s="75"/>
      <c r="H272" s="75"/>
      <c r="I272" s="75"/>
      <c r="J272" s="267" t="s">
        <v>420</v>
      </c>
      <c r="K272" s="56">
        <v>1.0149999999999999</v>
      </c>
    </row>
    <row r="273" spans="1:11" s="27" customFormat="1" x14ac:dyDescent="0.25">
      <c r="A273" s="66" t="s">
        <v>453</v>
      </c>
      <c r="B273" s="50" t="s">
        <v>383</v>
      </c>
      <c r="C273" s="67" t="s">
        <v>0</v>
      </c>
      <c r="D273" s="68">
        <v>48</v>
      </c>
      <c r="E273" s="56"/>
      <c r="F273" s="56"/>
      <c r="G273" s="56"/>
      <c r="H273" s="56"/>
      <c r="I273" s="56"/>
      <c r="J273" s="215"/>
      <c r="K273" s="56"/>
    </row>
    <row r="274" spans="1:11" s="27" customFormat="1" x14ac:dyDescent="0.25">
      <c r="A274" s="67"/>
      <c r="B274" s="73" t="s">
        <v>384</v>
      </c>
      <c r="C274" s="67" t="s">
        <v>0</v>
      </c>
      <c r="D274" s="68">
        <v>48.96</v>
      </c>
      <c r="E274" s="56"/>
      <c r="F274" s="56"/>
      <c r="G274" s="56"/>
      <c r="H274" s="56"/>
      <c r="I274" s="56"/>
      <c r="J274" s="217" t="s">
        <v>420</v>
      </c>
      <c r="K274" s="56"/>
    </row>
    <row r="275" spans="1:11" s="27" customFormat="1" x14ac:dyDescent="0.25">
      <c r="A275" s="66" t="s">
        <v>455</v>
      </c>
      <c r="B275" s="65" t="s">
        <v>423</v>
      </c>
      <c r="C275" s="56"/>
      <c r="D275" s="26"/>
      <c r="E275" s="56"/>
      <c r="F275" s="56"/>
      <c r="G275" s="56"/>
      <c r="H275" s="56"/>
      <c r="I275" s="56"/>
      <c r="J275" s="215"/>
      <c r="K275" s="56"/>
    </row>
    <row r="276" spans="1:11" s="27" customFormat="1" x14ac:dyDescent="0.2">
      <c r="A276" s="67"/>
      <c r="B276" s="51" t="s">
        <v>395</v>
      </c>
      <c r="C276" s="70" t="s">
        <v>0</v>
      </c>
      <c r="D276" s="71">
        <v>3.6</v>
      </c>
      <c r="E276" s="777" t="s">
        <v>615</v>
      </c>
      <c r="F276" s="778"/>
      <c r="G276" s="778"/>
      <c r="H276" s="778"/>
      <c r="I276" s="779"/>
      <c r="J276" s="215" t="s">
        <v>396</v>
      </c>
      <c r="K276" s="56"/>
    </row>
    <row r="277" spans="1:11" s="27" customFormat="1" x14ac:dyDescent="0.2">
      <c r="A277" s="67"/>
      <c r="B277" s="69" t="s">
        <v>389</v>
      </c>
      <c r="C277" s="70" t="s">
        <v>390</v>
      </c>
      <c r="D277" s="71">
        <v>104</v>
      </c>
      <c r="E277" s="777" t="s">
        <v>615</v>
      </c>
      <c r="F277" s="778"/>
      <c r="G277" s="778"/>
      <c r="H277" s="778"/>
      <c r="I277" s="779"/>
      <c r="J277" s="214"/>
      <c r="K277" s="56"/>
    </row>
    <row r="278" spans="1:11" s="27" customFormat="1" x14ac:dyDescent="0.2">
      <c r="A278" s="67"/>
      <c r="B278" s="69" t="s">
        <v>391</v>
      </c>
      <c r="C278" s="70" t="s">
        <v>390</v>
      </c>
      <c r="D278" s="71">
        <v>29</v>
      </c>
      <c r="E278" s="777" t="s">
        <v>615</v>
      </c>
      <c r="F278" s="778"/>
      <c r="G278" s="778"/>
      <c r="H278" s="778"/>
      <c r="I278" s="779"/>
      <c r="J278" s="214"/>
      <c r="K278" s="56"/>
    </row>
    <row r="279" spans="1:11" s="180" customFormat="1" x14ac:dyDescent="0.2">
      <c r="A279" s="175"/>
      <c r="B279" s="191" t="s">
        <v>392</v>
      </c>
      <c r="C279" s="185" t="s">
        <v>0</v>
      </c>
      <c r="D279" s="181">
        <v>0.1</v>
      </c>
      <c r="E279" s="777" t="s">
        <v>615</v>
      </c>
      <c r="F279" s="778"/>
      <c r="G279" s="778"/>
      <c r="H279" s="778"/>
      <c r="I279" s="779"/>
      <c r="J279" s="221"/>
      <c r="K279" s="179"/>
    </row>
    <row r="280" spans="1:11" s="27" customFormat="1" x14ac:dyDescent="0.2">
      <c r="A280" s="67"/>
      <c r="B280" s="69" t="s">
        <v>393</v>
      </c>
      <c r="C280" s="70" t="s">
        <v>390</v>
      </c>
      <c r="D280" s="71">
        <v>101</v>
      </c>
      <c r="E280" s="777" t="s">
        <v>615</v>
      </c>
      <c r="F280" s="778"/>
      <c r="G280" s="778"/>
      <c r="H280" s="778"/>
      <c r="I280" s="779"/>
      <c r="J280" s="215" t="s">
        <v>394</v>
      </c>
      <c r="K280" s="56"/>
    </row>
    <row r="281" spans="1:11" s="27" customFormat="1" x14ac:dyDescent="0.25">
      <c r="A281" s="66" t="s">
        <v>457</v>
      </c>
      <c r="B281" s="50" t="s">
        <v>425</v>
      </c>
      <c r="C281" s="28" t="s">
        <v>33</v>
      </c>
      <c r="D281" s="48">
        <v>156.81</v>
      </c>
      <c r="E281" s="56"/>
      <c r="F281" s="56"/>
      <c r="G281" s="56"/>
      <c r="H281" s="56"/>
      <c r="I281" s="56"/>
      <c r="J281" s="224"/>
      <c r="K281" s="753" t="s">
        <v>629</v>
      </c>
    </row>
    <row r="282" spans="1:11" s="27" customFormat="1" x14ac:dyDescent="0.25">
      <c r="A282" s="67"/>
      <c r="B282" s="76" t="s">
        <v>399</v>
      </c>
      <c r="C282" s="17" t="s">
        <v>33</v>
      </c>
      <c r="D282" s="77">
        <v>4.0000000000000001E-3</v>
      </c>
      <c r="E282" s="265"/>
      <c r="F282" s="265"/>
      <c r="G282" s="265"/>
      <c r="H282" s="265"/>
      <c r="I282" s="260"/>
      <c r="J282" s="276" t="s">
        <v>400</v>
      </c>
      <c r="K282" s="754"/>
    </row>
    <row r="283" spans="1:11" s="27" customFormat="1" x14ac:dyDescent="0.25">
      <c r="A283" s="67"/>
      <c r="B283" s="76" t="s">
        <v>401</v>
      </c>
      <c r="C283" s="17" t="s">
        <v>33</v>
      </c>
      <c r="D283" s="25">
        <v>3.05</v>
      </c>
      <c r="E283" s="265"/>
      <c r="F283" s="265"/>
      <c r="G283" s="265"/>
      <c r="H283" s="265"/>
      <c r="I283" s="260"/>
      <c r="J283" s="276" t="s">
        <v>400</v>
      </c>
      <c r="K283" s="754"/>
    </row>
    <row r="284" spans="1:11" s="27" customFormat="1" x14ac:dyDescent="0.25">
      <c r="A284" s="67"/>
      <c r="B284" s="76" t="s">
        <v>426</v>
      </c>
      <c r="C284" s="17" t="s">
        <v>33</v>
      </c>
      <c r="D284" s="25">
        <v>26.74</v>
      </c>
      <c r="E284" s="265"/>
      <c r="F284" s="265"/>
      <c r="G284" s="265"/>
      <c r="H284" s="265"/>
      <c r="I284" s="260"/>
      <c r="J284" s="276" t="s">
        <v>400</v>
      </c>
      <c r="K284" s="754"/>
    </row>
    <row r="285" spans="1:11" s="27" customFormat="1" x14ac:dyDescent="0.25">
      <c r="A285" s="67"/>
      <c r="B285" s="76" t="s">
        <v>427</v>
      </c>
      <c r="C285" s="17" t="s">
        <v>33</v>
      </c>
      <c r="D285" s="25">
        <v>2.39</v>
      </c>
      <c r="E285" s="265"/>
      <c r="F285" s="265"/>
      <c r="G285" s="265"/>
      <c r="H285" s="265"/>
      <c r="I285" s="260"/>
      <c r="J285" s="276" t="s">
        <v>400</v>
      </c>
      <c r="K285" s="754"/>
    </row>
    <row r="286" spans="1:11" s="27" customFormat="1" x14ac:dyDescent="0.25">
      <c r="A286" s="67"/>
      <c r="B286" s="76" t="s">
        <v>404</v>
      </c>
      <c r="C286" s="17" t="s">
        <v>33</v>
      </c>
      <c r="D286" s="25">
        <v>2.65</v>
      </c>
      <c r="E286" s="265"/>
      <c r="F286" s="265"/>
      <c r="G286" s="265"/>
      <c r="H286" s="265"/>
      <c r="I286" s="260"/>
      <c r="J286" s="276" t="s">
        <v>400</v>
      </c>
      <c r="K286" s="754"/>
    </row>
    <row r="287" spans="1:11" s="27" customFormat="1" x14ac:dyDescent="0.25">
      <c r="A287" s="67"/>
      <c r="B287" s="76" t="s">
        <v>428</v>
      </c>
      <c r="C287" s="17" t="s">
        <v>33</v>
      </c>
      <c r="D287" s="25">
        <v>2.14</v>
      </c>
      <c r="E287" s="265"/>
      <c r="F287" s="265"/>
      <c r="G287" s="265"/>
      <c r="H287" s="265"/>
      <c r="I287" s="260"/>
      <c r="J287" s="276" t="s">
        <v>400</v>
      </c>
      <c r="K287" s="754"/>
    </row>
    <row r="288" spans="1:11" s="27" customFormat="1" x14ac:dyDescent="0.25">
      <c r="A288" s="67"/>
      <c r="B288" s="76" t="s">
        <v>429</v>
      </c>
      <c r="C288" s="17" t="s">
        <v>33</v>
      </c>
      <c r="D288" s="25">
        <v>116.18</v>
      </c>
      <c r="E288" s="265"/>
      <c r="F288" s="265"/>
      <c r="G288" s="265"/>
      <c r="H288" s="265"/>
      <c r="I288" s="260"/>
      <c r="J288" s="276" t="s">
        <v>400</v>
      </c>
      <c r="K288" s="754"/>
    </row>
    <row r="289" spans="1:11" s="27" customFormat="1" x14ac:dyDescent="0.25">
      <c r="A289" s="67"/>
      <c r="B289" s="78" t="s">
        <v>430</v>
      </c>
      <c r="C289" s="17" t="s">
        <v>33</v>
      </c>
      <c r="D289" s="25">
        <v>2.74</v>
      </c>
      <c r="E289" s="265"/>
      <c r="F289" s="265"/>
      <c r="G289" s="265"/>
      <c r="H289" s="265"/>
      <c r="I289" s="260"/>
      <c r="J289" s="276" t="s">
        <v>400</v>
      </c>
      <c r="K289" s="754"/>
    </row>
    <row r="290" spans="1:11" s="27" customFormat="1" x14ac:dyDescent="0.25">
      <c r="A290" s="67"/>
      <c r="B290" s="78" t="s">
        <v>431</v>
      </c>
      <c r="C290" s="17" t="s">
        <v>33</v>
      </c>
      <c r="D290" s="25">
        <v>0.92</v>
      </c>
      <c r="E290" s="265"/>
      <c r="F290" s="265"/>
      <c r="G290" s="265"/>
      <c r="H290" s="265"/>
      <c r="I290" s="260"/>
      <c r="J290" s="276" t="s">
        <v>400</v>
      </c>
      <c r="K290" s="754"/>
    </row>
    <row r="291" spans="1:11" s="180" customFormat="1" x14ac:dyDescent="0.25">
      <c r="A291" s="175"/>
      <c r="B291" s="176" t="s">
        <v>411</v>
      </c>
      <c r="C291" s="177" t="s">
        <v>33</v>
      </c>
      <c r="D291" s="178">
        <v>1.56</v>
      </c>
      <c r="E291" s="179"/>
      <c r="F291" s="179"/>
      <c r="G291" s="179"/>
      <c r="H291" s="179"/>
      <c r="I291" s="215"/>
      <c r="J291" s="222"/>
      <c r="K291" s="754"/>
    </row>
    <row r="292" spans="1:11" s="27" customFormat="1" x14ac:dyDescent="0.25">
      <c r="A292" s="66" t="s">
        <v>460</v>
      </c>
      <c r="B292" s="50" t="s">
        <v>432</v>
      </c>
      <c r="C292" s="28" t="s">
        <v>0</v>
      </c>
      <c r="D292" s="48">
        <v>909</v>
      </c>
      <c r="E292" s="56"/>
      <c r="F292" s="56"/>
      <c r="G292" s="56"/>
      <c r="H292" s="56"/>
      <c r="I292" s="56"/>
      <c r="J292" s="215"/>
      <c r="K292" s="754"/>
    </row>
    <row r="293" spans="1:11" s="27" customFormat="1" x14ac:dyDescent="0.25">
      <c r="A293" s="67"/>
      <c r="B293" s="76" t="s">
        <v>433</v>
      </c>
      <c r="C293" s="70" t="s">
        <v>0</v>
      </c>
      <c r="D293" s="71">
        <v>927.18</v>
      </c>
      <c r="E293" s="265"/>
      <c r="F293" s="265"/>
      <c r="G293" s="265"/>
      <c r="H293" s="265"/>
      <c r="I293" s="265">
        <v>1.0149999999999999</v>
      </c>
      <c r="J293" s="260" t="s">
        <v>415</v>
      </c>
      <c r="K293" s="755"/>
    </row>
    <row r="294" spans="1:11" s="81" customFormat="1" ht="15" x14ac:dyDescent="0.25">
      <c r="A294" s="155"/>
      <c r="B294" s="156" t="s">
        <v>434</v>
      </c>
      <c r="C294" s="156"/>
      <c r="D294" s="156"/>
      <c r="E294" s="157"/>
      <c r="F294" s="157"/>
      <c r="G294" s="157"/>
      <c r="H294" s="157"/>
      <c r="I294" s="157"/>
      <c r="J294" s="225"/>
      <c r="K294" s="238"/>
    </row>
    <row r="295" spans="1:11" s="81" customFormat="1" ht="15" x14ac:dyDescent="0.25">
      <c r="A295" s="151" t="s">
        <v>597</v>
      </c>
      <c r="B295" s="152" t="s">
        <v>435</v>
      </c>
      <c r="C295" s="153" t="s">
        <v>89</v>
      </c>
      <c r="D295" s="154">
        <v>900</v>
      </c>
      <c r="E295" s="777" t="s">
        <v>614</v>
      </c>
      <c r="F295" s="778"/>
      <c r="G295" s="778"/>
      <c r="H295" s="778"/>
      <c r="I295" s="779"/>
      <c r="J295" s="226"/>
      <c r="K295" s="238"/>
    </row>
    <row r="296" spans="1:11" s="81" customFormat="1" ht="15" x14ac:dyDescent="0.25">
      <c r="A296" s="29" t="s">
        <v>598</v>
      </c>
      <c r="B296" s="85" t="s">
        <v>436</v>
      </c>
      <c r="C296" s="83" t="s">
        <v>0</v>
      </c>
      <c r="D296" s="86">
        <v>100</v>
      </c>
      <c r="E296" s="80"/>
      <c r="F296" s="80"/>
      <c r="G296" s="80"/>
      <c r="H296" s="80"/>
      <c r="I296" s="80"/>
      <c r="J296" s="227"/>
      <c r="K296" s="238"/>
    </row>
    <row r="297" spans="1:11" s="81" customFormat="1" ht="15" x14ac:dyDescent="0.25">
      <c r="A297" s="79"/>
      <c r="B297" s="87" t="s">
        <v>381</v>
      </c>
      <c r="C297" s="88" t="s">
        <v>0</v>
      </c>
      <c r="D297" s="89">
        <v>102</v>
      </c>
      <c r="E297" s="80"/>
      <c r="F297" s="80"/>
      <c r="G297" s="80"/>
      <c r="H297" s="80"/>
      <c r="I297" s="80"/>
      <c r="J297" s="268" t="s">
        <v>437</v>
      </c>
      <c r="K297" s="265"/>
    </row>
    <row r="298" spans="1:11" s="81" customFormat="1" ht="15" x14ac:dyDescent="0.25">
      <c r="A298" s="29" t="s">
        <v>596</v>
      </c>
      <c r="B298" s="82" t="s">
        <v>383</v>
      </c>
      <c r="C298" s="83" t="s">
        <v>0</v>
      </c>
      <c r="D298" s="90">
        <v>50</v>
      </c>
      <c r="E298" s="80"/>
      <c r="F298" s="80"/>
      <c r="G298" s="80"/>
      <c r="H298" s="80"/>
      <c r="I298" s="80"/>
      <c r="J298" s="209"/>
      <c r="K298" s="238"/>
    </row>
    <row r="299" spans="1:11" s="81" customFormat="1" ht="15" x14ac:dyDescent="0.25">
      <c r="A299" s="79"/>
      <c r="B299" s="91" t="s">
        <v>384</v>
      </c>
      <c r="C299" s="88" t="s">
        <v>0</v>
      </c>
      <c r="D299" s="92">
        <v>51</v>
      </c>
      <c r="E299" s="87"/>
      <c r="F299" s="87"/>
      <c r="G299" s="87"/>
      <c r="H299" s="87"/>
      <c r="I299" s="87"/>
      <c r="J299" s="261" t="s">
        <v>420</v>
      </c>
      <c r="K299" s="265"/>
    </row>
    <row r="300" spans="1:11" s="81" customFormat="1" ht="15" x14ac:dyDescent="0.25">
      <c r="A300" s="29" t="s">
        <v>599</v>
      </c>
      <c r="B300" s="82" t="s">
        <v>438</v>
      </c>
      <c r="C300" s="88"/>
      <c r="D300" s="88"/>
      <c r="E300" s="87"/>
      <c r="F300" s="87"/>
      <c r="G300" s="87"/>
      <c r="H300" s="87"/>
      <c r="I300" s="87"/>
      <c r="J300" s="208"/>
      <c r="K300" s="238"/>
    </row>
    <row r="301" spans="1:11" s="81" customFormat="1" ht="15" x14ac:dyDescent="0.25">
      <c r="A301" s="79"/>
      <c r="B301" s="91" t="s">
        <v>391</v>
      </c>
      <c r="C301" s="88" t="s">
        <v>390</v>
      </c>
      <c r="D301" s="89">
        <v>85</v>
      </c>
      <c r="E301" s="777" t="s">
        <v>615</v>
      </c>
      <c r="F301" s="778"/>
      <c r="G301" s="778"/>
      <c r="H301" s="778"/>
      <c r="I301" s="779"/>
      <c r="J301" s="208"/>
      <c r="K301" s="238"/>
    </row>
    <row r="302" spans="1:11" s="81" customFormat="1" ht="15" x14ac:dyDescent="0.25">
      <c r="A302" s="29" t="s">
        <v>600</v>
      </c>
      <c r="B302" s="85" t="s">
        <v>439</v>
      </c>
      <c r="C302" s="83" t="s">
        <v>33</v>
      </c>
      <c r="D302" s="83">
        <v>83.5</v>
      </c>
      <c r="E302" s="80"/>
      <c r="F302" s="80"/>
      <c r="G302" s="80"/>
      <c r="H302" s="80"/>
      <c r="I302" s="80"/>
      <c r="J302" s="227"/>
      <c r="K302" s="792" t="s">
        <v>632</v>
      </c>
    </row>
    <row r="303" spans="1:11" s="81" customFormat="1" ht="15" x14ac:dyDescent="0.25">
      <c r="A303" s="79"/>
      <c r="B303" s="93" t="s">
        <v>401</v>
      </c>
      <c r="C303" s="94" t="s">
        <v>33</v>
      </c>
      <c r="D303" s="30">
        <v>6.56</v>
      </c>
      <c r="E303" s="80"/>
      <c r="F303" s="80"/>
      <c r="G303" s="80"/>
      <c r="H303" s="80"/>
      <c r="I303" s="80"/>
      <c r="J303" s="261" t="s">
        <v>400</v>
      </c>
      <c r="K303" s="793"/>
    </row>
    <row r="304" spans="1:11" s="81" customFormat="1" ht="15" x14ac:dyDescent="0.25">
      <c r="A304" s="79"/>
      <c r="B304" s="93" t="s">
        <v>440</v>
      </c>
      <c r="C304" s="94" t="s">
        <v>33</v>
      </c>
      <c r="D304" s="30">
        <v>49.18</v>
      </c>
      <c r="E304" s="80"/>
      <c r="F304" s="80"/>
      <c r="G304" s="80"/>
      <c r="H304" s="80"/>
      <c r="I304" s="80"/>
      <c r="J304" s="261" t="s">
        <v>400</v>
      </c>
      <c r="K304" s="793"/>
    </row>
    <row r="305" spans="1:11" s="81" customFormat="1" ht="15" x14ac:dyDescent="0.25">
      <c r="A305" s="79"/>
      <c r="B305" s="93" t="s">
        <v>429</v>
      </c>
      <c r="C305" s="94" t="s">
        <v>33</v>
      </c>
      <c r="D305" s="30">
        <v>2.72</v>
      </c>
      <c r="E305" s="80"/>
      <c r="F305" s="80"/>
      <c r="G305" s="80"/>
      <c r="H305" s="80"/>
      <c r="I305" s="80"/>
      <c r="J305" s="261" t="s">
        <v>400</v>
      </c>
      <c r="K305" s="793"/>
    </row>
    <row r="306" spans="1:11" s="81" customFormat="1" ht="15" x14ac:dyDescent="0.25">
      <c r="A306" s="79"/>
      <c r="B306" s="93" t="s">
        <v>408</v>
      </c>
      <c r="C306" s="94" t="s">
        <v>33</v>
      </c>
      <c r="D306" s="30">
        <v>0.46</v>
      </c>
      <c r="E306" s="80"/>
      <c r="F306" s="80"/>
      <c r="G306" s="80"/>
      <c r="H306" s="80"/>
      <c r="I306" s="80"/>
      <c r="J306" s="261" t="s">
        <v>400</v>
      </c>
      <c r="K306" s="793"/>
    </row>
    <row r="307" spans="1:11" s="81" customFormat="1" ht="15" x14ac:dyDescent="0.25">
      <c r="A307" s="79"/>
      <c r="B307" s="93" t="s">
        <v>431</v>
      </c>
      <c r="C307" s="94" t="s">
        <v>33</v>
      </c>
      <c r="D307" s="30">
        <v>24.59</v>
      </c>
      <c r="E307" s="80"/>
      <c r="F307" s="80"/>
      <c r="G307" s="80"/>
      <c r="H307" s="80"/>
      <c r="I307" s="80"/>
      <c r="J307" s="261" t="s">
        <v>400</v>
      </c>
      <c r="K307" s="793"/>
    </row>
    <row r="308" spans="1:11" s="190" customFormat="1" ht="15" x14ac:dyDescent="0.25">
      <c r="A308" s="186"/>
      <c r="B308" s="187" t="s">
        <v>411</v>
      </c>
      <c r="C308" s="188" t="s">
        <v>33</v>
      </c>
      <c r="D308" s="189">
        <v>0.84</v>
      </c>
      <c r="E308" s="808" t="s">
        <v>635</v>
      </c>
      <c r="F308" s="809"/>
      <c r="G308" s="809"/>
      <c r="H308" s="809"/>
      <c r="I308" s="810"/>
      <c r="J308" s="229"/>
      <c r="K308" s="793"/>
    </row>
    <row r="309" spans="1:11" s="81" customFormat="1" ht="15" x14ac:dyDescent="0.25">
      <c r="A309" s="79"/>
      <c r="B309" s="87" t="s">
        <v>441</v>
      </c>
      <c r="C309" s="94" t="s">
        <v>33</v>
      </c>
      <c r="D309" s="88">
        <v>0.02</v>
      </c>
      <c r="E309" s="80"/>
      <c r="F309" s="80"/>
      <c r="G309" s="80"/>
      <c r="H309" s="80"/>
      <c r="I309" s="269"/>
      <c r="J309" s="261" t="s">
        <v>115</v>
      </c>
      <c r="K309" s="794"/>
    </row>
    <row r="310" spans="1:11" s="81" customFormat="1" ht="15" x14ac:dyDescent="0.25">
      <c r="A310" s="29" t="s">
        <v>601</v>
      </c>
      <c r="B310" s="85" t="s">
        <v>442</v>
      </c>
      <c r="C310" s="95" t="s">
        <v>0</v>
      </c>
      <c r="D310" s="96">
        <v>674</v>
      </c>
      <c r="E310" s="80"/>
      <c r="F310" s="80"/>
      <c r="G310" s="80"/>
      <c r="H310" s="80"/>
      <c r="I310" s="80"/>
      <c r="J310" s="227"/>
      <c r="K310" s="238"/>
    </row>
    <row r="311" spans="1:11" s="81" customFormat="1" ht="15" x14ac:dyDescent="0.25">
      <c r="A311" s="79"/>
      <c r="B311" s="91" t="s">
        <v>414</v>
      </c>
      <c r="C311" s="94" t="s">
        <v>0</v>
      </c>
      <c r="D311" s="88">
        <v>687.5</v>
      </c>
      <c r="E311" s="80"/>
      <c r="F311" s="80"/>
      <c r="G311" s="80"/>
      <c r="H311" s="80"/>
      <c r="I311" s="265"/>
      <c r="J311" s="268" t="s">
        <v>415</v>
      </c>
      <c r="K311" s="56"/>
    </row>
    <row r="312" spans="1:11" s="81" customFormat="1" ht="15" x14ac:dyDescent="0.25">
      <c r="A312" s="158"/>
      <c r="B312" s="156" t="s">
        <v>443</v>
      </c>
      <c r="C312" s="156"/>
      <c r="D312" s="156"/>
      <c r="E312" s="157"/>
      <c r="F312" s="157"/>
      <c r="G312" s="157"/>
      <c r="H312" s="157"/>
      <c r="I312" s="157"/>
      <c r="J312" s="225"/>
      <c r="K312" s="238"/>
    </row>
    <row r="313" spans="1:11" s="81" customFormat="1" ht="15" x14ac:dyDescent="0.25">
      <c r="A313" s="29" t="s">
        <v>602</v>
      </c>
      <c r="B313" s="82" t="s">
        <v>444</v>
      </c>
      <c r="C313" s="83" t="s">
        <v>89</v>
      </c>
      <c r="D313" s="96">
        <v>2250</v>
      </c>
      <c r="E313" s="777" t="s">
        <v>614</v>
      </c>
      <c r="F313" s="778"/>
      <c r="G313" s="778"/>
      <c r="H313" s="778"/>
      <c r="I313" s="779"/>
      <c r="J313" s="208"/>
      <c r="K313" s="238"/>
    </row>
    <row r="314" spans="1:11" s="81" customFormat="1" ht="15" x14ac:dyDescent="0.25">
      <c r="A314" s="29" t="s">
        <v>603</v>
      </c>
      <c r="B314" s="85" t="s">
        <v>445</v>
      </c>
      <c r="C314" s="83" t="s">
        <v>0</v>
      </c>
      <c r="D314" s="84">
        <v>225</v>
      </c>
      <c r="E314" s="80"/>
      <c r="F314" s="80"/>
      <c r="G314" s="80"/>
      <c r="H314" s="80"/>
      <c r="I314" s="80"/>
      <c r="J314" s="208"/>
      <c r="K314" s="238"/>
    </row>
    <row r="315" spans="1:11" s="81" customFormat="1" ht="15" x14ac:dyDescent="0.25">
      <c r="A315" s="79"/>
      <c r="B315" s="87" t="s">
        <v>381</v>
      </c>
      <c r="C315" s="88" t="s">
        <v>0</v>
      </c>
      <c r="D315" s="88">
        <v>229.5</v>
      </c>
      <c r="E315" s="80"/>
      <c r="F315" s="80"/>
      <c r="G315" s="80"/>
      <c r="H315" s="80"/>
      <c r="I315" s="270"/>
      <c r="J315" s="268" t="s">
        <v>437</v>
      </c>
      <c r="K315" s="238"/>
    </row>
    <row r="316" spans="1:11" s="81" customFormat="1" ht="15" x14ac:dyDescent="0.25">
      <c r="A316" s="29" t="s">
        <v>604</v>
      </c>
      <c r="B316" s="82" t="s">
        <v>383</v>
      </c>
      <c r="C316" s="83" t="s">
        <v>0</v>
      </c>
      <c r="D316" s="84">
        <v>111</v>
      </c>
      <c r="E316" s="80"/>
      <c r="F316" s="80"/>
      <c r="G316" s="80"/>
      <c r="H316" s="80"/>
      <c r="I316" s="80"/>
      <c r="J316" s="209"/>
      <c r="K316" s="238"/>
    </row>
    <row r="317" spans="1:11" s="81" customFormat="1" ht="15" x14ac:dyDescent="0.25">
      <c r="A317" s="79"/>
      <c r="B317" s="91" t="s">
        <v>384</v>
      </c>
      <c r="C317" s="88" t="s">
        <v>0</v>
      </c>
      <c r="D317" s="88">
        <v>113.22</v>
      </c>
      <c r="E317" s="87"/>
      <c r="F317" s="87"/>
      <c r="G317" s="87"/>
      <c r="H317" s="87"/>
      <c r="I317" s="271"/>
      <c r="J317" s="261" t="s">
        <v>420</v>
      </c>
      <c r="K317" s="238"/>
    </row>
    <row r="318" spans="1:11" s="81" customFormat="1" ht="15" x14ac:dyDescent="0.25">
      <c r="A318" s="29" t="s">
        <v>605</v>
      </c>
      <c r="B318" s="82" t="s">
        <v>438</v>
      </c>
      <c r="C318" s="83" t="s">
        <v>390</v>
      </c>
      <c r="D318" s="159">
        <v>140</v>
      </c>
      <c r="E318" s="80"/>
      <c r="F318" s="80"/>
      <c r="G318" s="80"/>
      <c r="H318" s="80"/>
      <c r="I318" s="80"/>
      <c r="J318" s="208"/>
      <c r="K318" s="238"/>
    </row>
    <row r="319" spans="1:11" s="81" customFormat="1" ht="15" x14ac:dyDescent="0.25">
      <c r="A319" s="79"/>
      <c r="B319" s="91" t="s">
        <v>391</v>
      </c>
      <c r="C319" s="88" t="s">
        <v>390</v>
      </c>
      <c r="D319" s="30">
        <v>140</v>
      </c>
      <c r="E319" s="777" t="s">
        <v>615</v>
      </c>
      <c r="F319" s="778"/>
      <c r="G319" s="778"/>
      <c r="H319" s="778"/>
      <c r="I319" s="779"/>
      <c r="J319" s="208"/>
      <c r="K319" s="238"/>
    </row>
    <row r="320" spans="1:11" s="81" customFormat="1" ht="15" x14ac:dyDescent="0.25">
      <c r="A320" s="29" t="s">
        <v>606</v>
      </c>
      <c r="B320" s="85" t="s">
        <v>446</v>
      </c>
      <c r="C320" s="83" t="s">
        <v>33</v>
      </c>
      <c r="D320" s="83">
        <v>152.36000000000001</v>
      </c>
      <c r="E320" s="80"/>
      <c r="F320" s="80"/>
      <c r="G320" s="80"/>
      <c r="H320" s="80"/>
      <c r="I320" s="80"/>
      <c r="J320" s="227"/>
      <c r="K320" s="238"/>
    </row>
    <row r="321" spans="1:11" s="81" customFormat="1" ht="15" x14ac:dyDescent="0.25">
      <c r="A321" s="79"/>
      <c r="B321" s="93" t="s">
        <v>401</v>
      </c>
      <c r="C321" s="94" t="s">
        <v>33</v>
      </c>
      <c r="D321" s="30">
        <v>16.03</v>
      </c>
      <c r="E321" s="80"/>
      <c r="F321" s="80"/>
      <c r="G321" s="80"/>
      <c r="H321" s="80"/>
      <c r="I321" s="80"/>
      <c r="J321" s="208" t="s">
        <v>400</v>
      </c>
      <c r="K321" s="238"/>
    </row>
    <row r="322" spans="1:11" s="81" customFormat="1" ht="15" x14ac:dyDescent="0.25">
      <c r="A322" s="79"/>
      <c r="B322" s="93" t="s">
        <v>426</v>
      </c>
      <c r="C322" s="94" t="s">
        <v>33</v>
      </c>
      <c r="D322" s="30">
        <v>0.8</v>
      </c>
      <c r="E322" s="80"/>
      <c r="F322" s="80"/>
      <c r="G322" s="80"/>
      <c r="H322" s="80"/>
      <c r="I322" s="80"/>
      <c r="J322" s="208" t="s">
        <v>400</v>
      </c>
      <c r="K322" s="238"/>
    </row>
    <row r="323" spans="1:11" s="81" customFormat="1" ht="15" x14ac:dyDescent="0.25">
      <c r="A323" s="79"/>
      <c r="B323" s="93" t="s">
        <v>440</v>
      </c>
      <c r="C323" s="94" t="s">
        <v>33</v>
      </c>
      <c r="D323" s="30">
        <v>99.25</v>
      </c>
      <c r="E323" s="80"/>
      <c r="F323" s="80"/>
      <c r="G323" s="80"/>
      <c r="H323" s="80"/>
      <c r="I323" s="80"/>
      <c r="J323" s="208" t="s">
        <v>400</v>
      </c>
      <c r="K323" s="238"/>
    </row>
    <row r="324" spans="1:11" s="81" customFormat="1" ht="15" x14ac:dyDescent="0.25">
      <c r="A324" s="79"/>
      <c r="B324" s="93" t="s">
        <v>428</v>
      </c>
      <c r="C324" s="94" t="s">
        <v>33</v>
      </c>
      <c r="D324" s="30">
        <v>4.7699999999999996</v>
      </c>
      <c r="E324" s="80"/>
      <c r="F324" s="80"/>
      <c r="G324" s="80"/>
      <c r="H324" s="80"/>
      <c r="I324" s="80"/>
      <c r="J324" s="208" t="s">
        <v>400</v>
      </c>
      <c r="K324" s="238"/>
    </row>
    <row r="325" spans="1:11" s="81" customFormat="1" ht="15" x14ac:dyDescent="0.25">
      <c r="A325" s="79"/>
      <c r="B325" s="93" t="s">
        <v>429</v>
      </c>
      <c r="C325" s="94" t="s">
        <v>33</v>
      </c>
      <c r="D325" s="30">
        <v>11.6</v>
      </c>
      <c r="E325" s="80"/>
      <c r="F325" s="80"/>
      <c r="G325" s="80"/>
      <c r="H325" s="80"/>
      <c r="I325" s="80"/>
      <c r="J325" s="208" t="s">
        <v>400</v>
      </c>
      <c r="K325" s="238"/>
    </row>
    <row r="326" spans="1:11" s="81" customFormat="1" ht="15" x14ac:dyDescent="0.25">
      <c r="A326" s="79"/>
      <c r="B326" s="93" t="s">
        <v>408</v>
      </c>
      <c r="C326" s="94" t="s">
        <v>33</v>
      </c>
      <c r="D326" s="30">
        <v>18.88</v>
      </c>
      <c r="E326" s="80"/>
      <c r="F326" s="80"/>
      <c r="G326" s="80"/>
      <c r="H326" s="80"/>
      <c r="I326" s="80"/>
      <c r="J326" s="208" t="s">
        <v>400</v>
      </c>
      <c r="K326" s="238"/>
    </row>
    <row r="327" spans="1:11" s="81" customFormat="1" ht="15" x14ac:dyDescent="0.25">
      <c r="A327" s="79"/>
      <c r="B327" s="93" t="s">
        <v>431</v>
      </c>
      <c r="C327" s="94" t="s">
        <v>33</v>
      </c>
      <c r="D327" s="30">
        <v>1.02</v>
      </c>
      <c r="E327" s="80"/>
      <c r="F327" s="80"/>
      <c r="G327" s="80"/>
      <c r="H327" s="80"/>
      <c r="I327" s="80"/>
      <c r="J327" s="208" t="s">
        <v>400</v>
      </c>
      <c r="K327" s="238"/>
    </row>
    <row r="328" spans="1:11" s="81" customFormat="1" ht="15" x14ac:dyDescent="0.25">
      <c r="A328" s="79"/>
      <c r="B328" s="93" t="s">
        <v>411</v>
      </c>
      <c r="C328" s="94" t="s">
        <v>33</v>
      </c>
      <c r="D328" s="30">
        <v>1.53</v>
      </c>
      <c r="E328" s="80"/>
      <c r="F328" s="80"/>
      <c r="G328" s="80"/>
      <c r="H328" s="80"/>
      <c r="I328" s="80"/>
      <c r="J328" s="208"/>
      <c r="K328" s="238"/>
    </row>
    <row r="329" spans="1:11" s="81" customFormat="1" ht="15" x14ac:dyDescent="0.25">
      <c r="A329" s="79"/>
      <c r="B329" s="87" t="s">
        <v>441</v>
      </c>
      <c r="C329" s="94" t="s">
        <v>33</v>
      </c>
      <c r="D329" s="88">
        <v>0.03</v>
      </c>
      <c r="E329" s="80"/>
      <c r="F329" s="80"/>
      <c r="G329" s="80"/>
      <c r="H329" s="80"/>
      <c r="I329" s="80"/>
      <c r="J329" s="208" t="s">
        <v>400</v>
      </c>
      <c r="K329" s="238"/>
    </row>
    <row r="330" spans="1:11" s="81" customFormat="1" ht="15" x14ac:dyDescent="0.25">
      <c r="A330" s="29" t="s">
        <v>607</v>
      </c>
      <c r="B330" s="85" t="s">
        <v>447</v>
      </c>
      <c r="C330" s="95" t="s">
        <v>0</v>
      </c>
      <c r="D330" s="84">
        <v>1365</v>
      </c>
      <c r="E330" s="80"/>
      <c r="F330" s="80"/>
      <c r="G330" s="80"/>
      <c r="H330" s="80"/>
      <c r="I330" s="80"/>
      <c r="J330" s="227"/>
      <c r="K330" s="238"/>
    </row>
    <row r="331" spans="1:11" s="81" customFormat="1" ht="15" x14ac:dyDescent="0.25">
      <c r="A331" s="79"/>
      <c r="B331" s="91" t="s">
        <v>414</v>
      </c>
      <c r="C331" s="94" t="s">
        <v>0</v>
      </c>
      <c r="D331" s="88">
        <v>1392.3</v>
      </c>
      <c r="E331" s="80"/>
      <c r="F331" s="80"/>
      <c r="G331" s="80"/>
      <c r="H331" s="80"/>
      <c r="I331" s="80"/>
      <c r="J331" s="228" t="s">
        <v>415</v>
      </c>
      <c r="K331" s="238"/>
    </row>
    <row r="332" spans="1:11" s="34" customFormat="1" ht="25.5" x14ac:dyDescent="0.25">
      <c r="A332" s="120" t="s">
        <v>74</v>
      </c>
      <c r="B332" s="119" t="s">
        <v>123</v>
      </c>
      <c r="C332" s="121" t="s">
        <v>54</v>
      </c>
      <c r="D332" s="121">
        <v>1</v>
      </c>
      <c r="E332" s="122"/>
      <c r="F332" s="122"/>
      <c r="G332" s="123"/>
      <c r="H332" s="123"/>
      <c r="I332" s="123"/>
      <c r="J332" s="204"/>
      <c r="K332" s="28"/>
    </row>
    <row r="333" spans="1:11" s="34" customFormat="1" ht="16.5" customHeight="1" x14ac:dyDescent="0.25">
      <c r="A333" s="10" t="s">
        <v>417</v>
      </c>
      <c r="B333" s="11" t="s">
        <v>13</v>
      </c>
      <c r="C333" s="12" t="s">
        <v>33</v>
      </c>
      <c r="D333" s="31">
        <f>11782.1/1000</f>
        <v>11.7821</v>
      </c>
      <c r="E333" s="13"/>
      <c r="F333" s="13"/>
      <c r="G333" s="13"/>
      <c r="H333" s="13"/>
      <c r="I333" s="13"/>
      <c r="J333" s="230" t="s">
        <v>40</v>
      </c>
      <c r="K333" s="753" t="s">
        <v>631</v>
      </c>
    </row>
    <row r="334" spans="1:11" s="34" customFormat="1" x14ac:dyDescent="0.25">
      <c r="A334" s="10" t="s">
        <v>418</v>
      </c>
      <c r="B334" s="11" t="s">
        <v>14</v>
      </c>
      <c r="C334" s="12" t="s">
        <v>33</v>
      </c>
      <c r="D334" s="31">
        <f>46848.5/1000</f>
        <v>46.848500000000001</v>
      </c>
      <c r="E334" s="13"/>
      <c r="F334" s="13"/>
      <c r="G334" s="13"/>
      <c r="H334" s="13"/>
      <c r="I334" s="13"/>
      <c r="J334" s="230" t="s">
        <v>40</v>
      </c>
      <c r="K334" s="754"/>
    </row>
    <row r="335" spans="1:11" s="27" customFormat="1" x14ac:dyDescent="0.25">
      <c r="A335" s="10" t="s">
        <v>421</v>
      </c>
      <c r="B335" s="11" t="s">
        <v>15</v>
      </c>
      <c r="C335" s="12" t="s">
        <v>33</v>
      </c>
      <c r="D335" s="31">
        <f>16687.1/1000</f>
        <v>16.687100000000001</v>
      </c>
      <c r="E335" s="13"/>
      <c r="F335" s="13"/>
      <c r="G335" s="13"/>
      <c r="H335" s="13"/>
      <c r="I335" s="13"/>
      <c r="J335" s="230" t="s">
        <v>40</v>
      </c>
      <c r="K335" s="755"/>
    </row>
    <row r="336" spans="1:11" s="27" customFormat="1" x14ac:dyDescent="0.25">
      <c r="A336" s="10" t="s">
        <v>422</v>
      </c>
      <c r="B336" s="11" t="s">
        <v>34</v>
      </c>
      <c r="C336" s="12" t="s">
        <v>33</v>
      </c>
      <c r="D336" s="31">
        <f>SUM(D337:D341)</f>
        <v>21.42193</v>
      </c>
      <c r="E336" s="13"/>
      <c r="F336" s="13"/>
      <c r="G336" s="13"/>
      <c r="H336" s="13"/>
      <c r="I336" s="13"/>
      <c r="J336" s="207"/>
      <c r="K336" s="56"/>
    </row>
    <row r="337" spans="1:11" s="27" customFormat="1" x14ac:dyDescent="0.25">
      <c r="A337" s="10"/>
      <c r="B337" s="16" t="s">
        <v>35</v>
      </c>
      <c r="C337" s="17" t="s">
        <v>33</v>
      </c>
      <c r="D337" s="18">
        <f>31.44/1000</f>
        <v>3.1440000000000003E-2</v>
      </c>
      <c r="E337" s="13"/>
      <c r="F337" s="13"/>
      <c r="G337" s="13"/>
      <c r="H337" s="13"/>
      <c r="I337" s="13"/>
      <c r="J337" s="207"/>
      <c r="K337" s="56"/>
    </row>
    <row r="338" spans="1:11" s="27" customFormat="1" x14ac:dyDescent="0.25">
      <c r="A338" s="10"/>
      <c r="B338" s="76" t="s">
        <v>36</v>
      </c>
      <c r="C338" s="17" t="s">
        <v>33</v>
      </c>
      <c r="D338" s="18">
        <f>1113.8/1000</f>
        <v>1.1137999999999999</v>
      </c>
      <c r="E338" s="13"/>
      <c r="F338" s="13"/>
      <c r="G338" s="13"/>
      <c r="H338" s="13"/>
      <c r="I338" s="13"/>
      <c r="J338" s="207"/>
      <c r="K338" s="56"/>
    </row>
    <row r="339" spans="1:11" s="27" customFormat="1" x14ac:dyDescent="0.25">
      <c r="A339" s="10"/>
      <c r="B339" s="76" t="s">
        <v>37</v>
      </c>
      <c r="C339" s="17" t="s">
        <v>33</v>
      </c>
      <c r="D339" s="18">
        <f>15915.31/1000</f>
        <v>15.91531</v>
      </c>
      <c r="E339" s="13"/>
      <c r="F339" s="13"/>
      <c r="G339" s="13"/>
      <c r="H339" s="13"/>
      <c r="I339" s="13"/>
      <c r="J339" s="207"/>
      <c r="K339" s="56"/>
    </row>
    <row r="340" spans="1:11" s="27" customFormat="1" x14ac:dyDescent="0.25">
      <c r="A340" s="10"/>
      <c r="B340" s="76" t="s">
        <v>38</v>
      </c>
      <c r="C340" s="17" t="s">
        <v>33</v>
      </c>
      <c r="D340" s="18">
        <f>3052.08/1000</f>
        <v>3.0520800000000001</v>
      </c>
      <c r="E340" s="13"/>
      <c r="F340" s="13"/>
      <c r="G340" s="13"/>
      <c r="H340" s="13"/>
      <c r="I340" s="13"/>
      <c r="J340" s="207"/>
      <c r="K340" s="56"/>
    </row>
    <row r="341" spans="1:11" s="27" customFormat="1" x14ac:dyDescent="0.25">
      <c r="A341" s="10"/>
      <c r="B341" s="16" t="s">
        <v>39</v>
      </c>
      <c r="C341" s="17" t="s">
        <v>33</v>
      </c>
      <c r="D341" s="18">
        <f>1309.3/1000</f>
        <v>1.3092999999999999</v>
      </c>
      <c r="E341" s="13"/>
      <c r="F341" s="13"/>
      <c r="G341" s="13"/>
      <c r="H341" s="13"/>
      <c r="I341" s="13"/>
      <c r="J341" s="207"/>
      <c r="K341" s="56"/>
    </row>
    <row r="342" spans="1:11" s="27" customFormat="1" ht="38.25" x14ac:dyDescent="0.25">
      <c r="A342" s="10" t="s">
        <v>424</v>
      </c>
      <c r="B342" s="277" t="s">
        <v>649</v>
      </c>
      <c r="C342" s="12" t="s">
        <v>0</v>
      </c>
      <c r="D342" s="31">
        <v>35.200000000000003</v>
      </c>
      <c r="E342" s="278"/>
      <c r="F342" s="278"/>
      <c r="G342" s="278"/>
      <c r="H342" s="278"/>
      <c r="I342" s="278"/>
      <c r="J342" s="207"/>
      <c r="K342" s="56"/>
    </row>
    <row r="343" spans="1:11" s="34" customFormat="1" x14ac:dyDescent="0.25">
      <c r="A343" s="120" t="s">
        <v>582</v>
      </c>
      <c r="B343" s="119" t="s">
        <v>23</v>
      </c>
      <c r="C343" s="121" t="s">
        <v>0</v>
      </c>
      <c r="D343" s="160">
        <v>14955</v>
      </c>
      <c r="E343" s="126"/>
      <c r="F343" s="126"/>
      <c r="G343" s="126"/>
      <c r="H343" s="126"/>
      <c r="I343" s="126"/>
      <c r="J343" s="206"/>
      <c r="K343" s="28"/>
    </row>
    <row r="344" spans="1:11" s="34" customFormat="1" ht="25.5" x14ac:dyDescent="0.25">
      <c r="A344" s="120" t="s">
        <v>87</v>
      </c>
      <c r="B344" s="119" t="s">
        <v>24</v>
      </c>
      <c r="C344" s="121" t="s">
        <v>0</v>
      </c>
      <c r="D344" s="160">
        <v>38800</v>
      </c>
      <c r="E344" s="126"/>
      <c r="F344" s="126"/>
      <c r="G344" s="126"/>
      <c r="H344" s="126"/>
      <c r="I344" s="126"/>
      <c r="J344" s="231"/>
      <c r="K344" s="28"/>
    </row>
    <row r="345" spans="1:11" s="34" customFormat="1" x14ac:dyDescent="0.25">
      <c r="A345" s="120" t="s">
        <v>608</v>
      </c>
      <c r="B345" s="119" t="s">
        <v>25</v>
      </c>
      <c r="C345" s="121" t="s">
        <v>0</v>
      </c>
      <c r="D345" s="161">
        <v>594</v>
      </c>
      <c r="E345" s="126"/>
      <c r="F345" s="126"/>
      <c r="G345" s="126"/>
      <c r="H345" s="126"/>
      <c r="I345" s="126"/>
      <c r="J345" s="206"/>
      <c r="K345" s="28"/>
    </row>
    <row r="346" spans="1:11" s="34" customFormat="1" x14ac:dyDescent="0.25">
      <c r="A346" s="7"/>
      <c r="B346" s="128" t="s">
        <v>577</v>
      </c>
      <c r="C346" s="8"/>
      <c r="D346" s="137"/>
      <c r="E346" s="9"/>
      <c r="F346" s="9"/>
      <c r="G346" s="9"/>
      <c r="H346" s="9"/>
      <c r="I346" s="9"/>
      <c r="J346" s="212"/>
      <c r="K346" s="28"/>
    </row>
    <row r="347" spans="1:11" s="34" customFormat="1" x14ac:dyDescent="0.25">
      <c r="A347" s="141" t="s">
        <v>7</v>
      </c>
      <c r="B347" s="119" t="s">
        <v>576</v>
      </c>
      <c r="C347" s="124"/>
      <c r="D347" s="140"/>
      <c r="E347" s="126"/>
      <c r="F347" s="126"/>
      <c r="G347" s="126"/>
      <c r="H347" s="126"/>
      <c r="I347" s="126"/>
      <c r="J347" s="206"/>
      <c r="K347" s="28"/>
    </row>
    <row r="348" spans="1:11" s="27" customFormat="1" x14ac:dyDescent="0.25">
      <c r="A348" s="66" t="s">
        <v>27</v>
      </c>
      <c r="B348" s="50" t="s">
        <v>449</v>
      </c>
      <c r="C348" s="28" t="s">
        <v>33</v>
      </c>
      <c r="D348" s="24">
        <v>33.51</v>
      </c>
      <c r="E348" s="56"/>
      <c r="F348" s="56"/>
      <c r="G348" s="56"/>
      <c r="H348" s="56"/>
      <c r="I348" s="56"/>
      <c r="J348" s="224"/>
      <c r="K348" s="56"/>
    </row>
    <row r="349" spans="1:11" s="27" customFormat="1" x14ac:dyDescent="0.25">
      <c r="A349" s="67"/>
      <c r="B349" s="69" t="s">
        <v>450</v>
      </c>
      <c r="C349" s="70" t="s">
        <v>33</v>
      </c>
      <c r="D349" s="97">
        <v>0.48</v>
      </c>
      <c r="E349" s="56"/>
      <c r="F349" s="56"/>
      <c r="G349" s="56"/>
      <c r="H349" s="56"/>
      <c r="I349" s="56"/>
      <c r="J349" s="215" t="s">
        <v>400</v>
      </c>
      <c r="K349" s="56"/>
    </row>
    <row r="350" spans="1:11" s="27" customFormat="1" x14ac:dyDescent="0.25">
      <c r="A350" s="67"/>
      <c r="B350" s="69" t="s">
        <v>401</v>
      </c>
      <c r="C350" s="70" t="s">
        <v>33</v>
      </c>
      <c r="D350" s="97">
        <v>5.08</v>
      </c>
      <c r="E350" s="56"/>
      <c r="F350" s="56"/>
      <c r="G350" s="56"/>
      <c r="H350" s="56"/>
      <c r="I350" s="56"/>
      <c r="J350" s="215" t="s">
        <v>400</v>
      </c>
      <c r="K350" s="56"/>
    </row>
    <row r="351" spans="1:11" s="27" customFormat="1" x14ac:dyDescent="0.25">
      <c r="A351" s="67"/>
      <c r="B351" s="69" t="s">
        <v>429</v>
      </c>
      <c r="C351" s="70" t="s">
        <v>33</v>
      </c>
      <c r="D351" s="97">
        <v>12.78</v>
      </c>
      <c r="E351" s="56"/>
      <c r="F351" s="56"/>
      <c r="G351" s="56"/>
      <c r="H351" s="56"/>
      <c r="I351" s="56"/>
      <c r="J351" s="215" t="s">
        <v>400</v>
      </c>
      <c r="K351" s="56"/>
    </row>
    <row r="352" spans="1:11" s="27" customFormat="1" x14ac:dyDescent="0.25">
      <c r="A352" s="67"/>
      <c r="B352" s="72" t="s">
        <v>430</v>
      </c>
      <c r="C352" s="70" t="s">
        <v>33</v>
      </c>
      <c r="D352" s="97">
        <v>15.17</v>
      </c>
      <c r="E352" s="56"/>
      <c r="F352" s="56"/>
      <c r="G352" s="56"/>
      <c r="H352" s="56"/>
      <c r="I352" s="56"/>
      <c r="J352" s="215" t="s">
        <v>400</v>
      </c>
      <c r="K352" s="56"/>
    </row>
    <row r="353" spans="1:11" s="180" customFormat="1" x14ac:dyDescent="0.25">
      <c r="A353" s="175"/>
      <c r="B353" s="184" t="s">
        <v>411</v>
      </c>
      <c r="C353" s="185" t="s">
        <v>33</v>
      </c>
      <c r="D353" s="183">
        <v>0.33</v>
      </c>
      <c r="E353" s="179"/>
      <c r="F353" s="179"/>
      <c r="G353" s="179"/>
      <c r="H353" s="179"/>
      <c r="I353" s="179"/>
      <c r="J353" s="276" t="s">
        <v>650</v>
      </c>
      <c r="K353" s="179"/>
    </row>
    <row r="354" spans="1:11" s="27" customFormat="1" x14ac:dyDescent="0.25">
      <c r="A354" s="66" t="s">
        <v>28</v>
      </c>
      <c r="B354" s="98" t="s">
        <v>452</v>
      </c>
      <c r="C354" s="28" t="s">
        <v>0</v>
      </c>
      <c r="D354" s="99">
        <v>98.28</v>
      </c>
      <c r="E354" s="56"/>
      <c r="F354" s="56"/>
      <c r="G354" s="56"/>
      <c r="H354" s="56"/>
      <c r="I354" s="56"/>
      <c r="J354" s="214"/>
      <c r="K354" s="56"/>
    </row>
    <row r="355" spans="1:11" s="27" customFormat="1" x14ac:dyDescent="0.25">
      <c r="A355" s="67"/>
      <c r="B355" s="51" t="s">
        <v>414</v>
      </c>
      <c r="C355" s="70" t="s">
        <v>0</v>
      </c>
      <c r="D355" s="17">
        <v>100.24</v>
      </c>
      <c r="E355" s="56"/>
      <c r="F355" s="56"/>
      <c r="G355" s="56"/>
      <c r="H355" s="56"/>
      <c r="I355" s="56"/>
      <c r="J355" s="215" t="s">
        <v>415</v>
      </c>
      <c r="K355" s="56"/>
    </row>
    <row r="356" spans="1:11" s="27" customFormat="1" x14ac:dyDescent="0.25">
      <c r="A356" s="66" t="s">
        <v>29</v>
      </c>
      <c r="B356" s="50" t="s">
        <v>454</v>
      </c>
      <c r="C356" s="28" t="s">
        <v>33</v>
      </c>
      <c r="D356" s="48">
        <v>29.98</v>
      </c>
      <c r="E356" s="56"/>
      <c r="F356" s="56"/>
      <c r="G356" s="56"/>
      <c r="H356" s="56"/>
      <c r="I356" s="56"/>
      <c r="J356" s="215"/>
      <c r="K356" s="56"/>
    </row>
    <row r="357" spans="1:11" s="27" customFormat="1" x14ac:dyDescent="0.25">
      <c r="A357" s="67"/>
      <c r="B357" s="69" t="s">
        <v>399</v>
      </c>
      <c r="C357" s="70" t="s">
        <v>33</v>
      </c>
      <c r="D357" s="71">
        <v>0.44</v>
      </c>
      <c r="E357" s="56"/>
      <c r="F357" s="56"/>
      <c r="G357" s="56"/>
      <c r="H357" s="56"/>
      <c r="I357" s="56"/>
      <c r="J357" s="215" t="s">
        <v>400</v>
      </c>
      <c r="K357" s="56"/>
    </row>
    <row r="358" spans="1:11" s="27" customFormat="1" x14ac:dyDescent="0.25">
      <c r="A358" s="67"/>
      <c r="B358" s="69" t="s">
        <v>401</v>
      </c>
      <c r="C358" s="70" t="s">
        <v>33</v>
      </c>
      <c r="D358" s="71">
        <v>0.32</v>
      </c>
      <c r="E358" s="56"/>
      <c r="F358" s="56"/>
      <c r="G358" s="56"/>
      <c r="H358" s="56"/>
      <c r="I358" s="56"/>
      <c r="J358" s="215" t="s">
        <v>400</v>
      </c>
      <c r="K358" s="56"/>
    </row>
    <row r="359" spans="1:11" s="27" customFormat="1" x14ac:dyDescent="0.25">
      <c r="A359" s="67"/>
      <c r="B359" s="69" t="s">
        <v>426</v>
      </c>
      <c r="C359" s="70" t="s">
        <v>33</v>
      </c>
      <c r="D359" s="71">
        <v>8.16</v>
      </c>
      <c r="E359" s="56"/>
      <c r="F359" s="56"/>
      <c r="G359" s="56"/>
      <c r="H359" s="56"/>
      <c r="I359" s="56"/>
      <c r="J359" s="215" t="s">
        <v>400</v>
      </c>
      <c r="K359" s="56"/>
    </row>
    <row r="360" spans="1:11" s="27" customFormat="1" x14ac:dyDescent="0.25">
      <c r="A360" s="67"/>
      <c r="B360" s="69" t="s">
        <v>427</v>
      </c>
      <c r="C360" s="70" t="s">
        <v>33</v>
      </c>
      <c r="D360" s="71">
        <v>10.37</v>
      </c>
      <c r="E360" s="56"/>
      <c r="F360" s="56"/>
      <c r="G360" s="56"/>
      <c r="H360" s="56"/>
      <c r="I360" s="56"/>
      <c r="J360" s="215" t="s">
        <v>400</v>
      </c>
      <c r="K360" s="56"/>
    </row>
    <row r="361" spans="1:11" s="27" customFormat="1" x14ac:dyDescent="0.25">
      <c r="A361" s="67"/>
      <c r="B361" s="69" t="s">
        <v>404</v>
      </c>
      <c r="C361" s="70" t="s">
        <v>33</v>
      </c>
      <c r="D361" s="71">
        <v>3.22</v>
      </c>
      <c r="E361" s="56"/>
      <c r="F361" s="56"/>
      <c r="G361" s="56"/>
      <c r="H361" s="56"/>
      <c r="I361" s="56"/>
      <c r="J361" s="215" t="s">
        <v>400</v>
      </c>
      <c r="K361" s="56"/>
    </row>
    <row r="362" spans="1:11" s="27" customFormat="1" x14ac:dyDescent="0.25">
      <c r="A362" s="67"/>
      <c r="B362" s="69" t="s">
        <v>428</v>
      </c>
      <c r="C362" s="70" t="s">
        <v>33</v>
      </c>
      <c r="D362" s="71">
        <v>6.46</v>
      </c>
      <c r="E362" s="56"/>
      <c r="F362" s="56"/>
      <c r="G362" s="56"/>
      <c r="H362" s="56"/>
      <c r="I362" s="56"/>
      <c r="J362" s="215" t="s">
        <v>400</v>
      </c>
      <c r="K362" s="56"/>
    </row>
    <row r="363" spans="1:11" s="180" customFormat="1" x14ac:dyDescent="0.25">
      <c r="A363" s="175"/>
      <c r="B363" s="184" t="s">
        <v>411</v>
      </c>
      <c r="C363" s="185" t="s">
        <v>33</v>
      </c>
      <c r="D363" s="181">
        <v>0.3</v>
      </c>
      <c r="E363" s="179"/>
      <c r="F363" s="179"/>
      <c r="G363" s="179"/>
      <c r="H363" s="179"/>
      <c r="I363" s="179"/>
      <c r="J363" s="276" t="s">
        <v>650</v>
      </c>
      <c r="K363" s="179"/>
    </row>
    <row r="364" spans="1:11" s="27" customFormat="1" x14ac:dyDescent="0.25">
      <c r="A364" s="66" t="s">
        <v>30</v>
      </c>
      <c r="B364" s="98" t="s">
        <v>456</v>
      </c>
      <c r="C364" s="28" t="s">
        <v>0</v>
      </c>
      <c r="D364" s="48">
        <v>172.8</v>
      </c>
      <c r="E364" s="56"/>
      <c r="F364" s="56"/>
      <c r="G364" s="56"/>
      <c r="H364" s="56"/>
      <c r="I364" s="56"/>
      <c r="J364" s="215"/>
      <c r="K364" s="56"/>
    </row>
    <row r="365" spans="1:11" s="27" customFormat="1" x14ac:dyDescent="0.25">
      <c r="A365" s="66"/>
      <c r="B365" s="51" t="s">
        <v>414</v>
      </c>
      <c r="C365" s="70" t="s">
        <v>0</v>
      </c>
      <c r="D365" s="71">
        <v>176.26</v>
      </c>
      <c r="E365" s="56"/>
      <c r="F365" s="56"/>
      <c r="G365" s="56"/>
      <c r="H365" s="56"/>
      <c r="I365" s="56"/>
      <c r="J365" s="215" t="s">
        <v>415</v>
      </c>
      <c r="K365" s="56"/>
    </row>
    <row r="366" spans="1:11" s="27" customFormat="1" ht="13.5" x14ac:dyDescent="0.25">
      <c r="A366" s="66" t="s">
        <v>31</v>
      </c>
      <c r="B366" s="65" t="s">
        <v>458</v>
      </c>
      <c r="C366" s="28" t="s">
        <v>33</v>
      </c>
      <c r="D366" s="100">
        <v>60.2</v>
      </c>
      <c r="E366" s="56"/>
      <c r="F366" s="56"/>
      <c r="G366" s="56"/>
      <c r="H366" s="56"/>
      <c r="I366" s="56"/>
      <c r="J366" s="215"/>
      <c r="K366" s="753" t="s">
        <v>627</v>
      </c>
    </row>
    <row r="367" spans="1:11" s="27" customFormat="1" x14ac:dyDescent="0.25">
      <c r="A367" s="101"/>
      <c r="B367" s="76" t="s">
        <v>399</v>
      </c>
      <c r="C367" s="67" t="s">
        <v>33</v>
      </c>
      <c r="D367" s="97">
        <v>0.19</v>
      </c>
      <c r="E367" s="56"/>
      <c r="F367" s="56"/>
      <c r="G367" s="56"/>
      <c r="H367" s="56"/>
      <c r="I367" s="56"/>
      <c r="J367" s="215" t="s">
        <v>400</v>
      </c>
      <c r="K367" s="754"/>
    </row>
    <row r="368" spans="1:11" s="27" customFormat="1" x14ac:dyDescent="0.25">
      <c r="A368" s="67"/>
      <c r="B368" s="76" t="s">
        <v>459</v>
      </c>
      <c r="C368" s="12" t="s">
        <v>33</v>
      </c>
      <c r="D368" s="97">
        <v>1.27</v>
      </c>
      <c r="E368" s="56"/>
      <c r="F368" s="56"/>
      <c r="G368" s="56"/>
      <c r="H368" s="56"/>
      <c r="I368" s="56"/>
      <c r="J368" s="215" t="s">
        <v>400</v>
      </c>
      <c r="K368" s="754"/>
    </row>
    <row r="369" spans="1:11" s="27" customFormat="1" x14ac:dyDescent="0.25">
      <c r="A369" s="67"/>
      <c r="B369" s="76" t="s">
        <v>450</v>
      </c>
      <c r="C369" s="12" t="s">
        <v>33</v>
      </c>
      <c r="D369" s="97">
        <v>0.57999999999999996</v>
      </c>
      <c r="E369" s="56"/>
      <c r="F369" s="56"/>
      <c r="G369" s="56"/>
      <c r="H369" s="56"/>
      <c r="I369" s="56"/>
      <c r="J369" s="215" t="s">
        <v>400</v>
      </c>
      <c r="K369" s="754"/>
    </row>
    <row r="370" spans="1:11" s="27" customFormat="1" x14ac:dyDescent="0.25">
      <c r="A370" s="67"/>
      <c r="B370" s="76" t="s">
        <v>426</v>
      </c>
      <c r="C370" s="12" t="s">
        <v>33</v>
      </c>
      <c r="D370" s="97">
        <v>1.1000000000000001</v>
      </c>
      <c r="E370" s="56"/>
      <c r="F370" s="56"/>
      <c r="G370" s="56"/>
      <c r="H370" s="56"/>
      <c r="I370" s="56"/>
      <c r="J370" s="215" t="s">
        <v>400</v>
      </c>
      <c r="K370" s="754"/>
    </row>
    <row r="371" spans="1:11" s="27" customFormat="1" x14ac:dyDescent="0.25">
      <c r="A371" s="67"/>
      <c r="B371" s="76" t="s">
        <v>427</v>
      </c>
      <c r="C371" s="12" t="s">
        <v>33</v>
      </c>
      <c r="D371" s="97">
        <v>34.31</v>
      </c>
      <c r="E371" s="56"/>
      <c r="F371" s="56"/>
      <c r="G371" s="56"/>
      <c r="H371" s="56"/>
      <c r="I371" s="56"/>
      <c r="J371" s="215" t="s">
        <v>400</v>
      </c>
      <c r="K371" s="754"/>
    </row>
    <row r="372" spans="1:11" s="27" customFormat="1" x14ac:dyDescent="0.25">
      <c r="A372" s="67"/>
      <c r="B372" s="76" t="s">
        <v>404</v>
      </c>
      <c r="C372" s="12" t="s">
        <v>33</v>
      </c>
      <c r="D372" s="97">
        <v>13.96</v>
      </c>
      <c r="E372" s="56"/>
      <c r="F372" s="56"/>
      <c r="G372" s="56"/>
      <c r="H372" s="56"/>
      <c r="I372" s="56"/>
      <c r="J372" s="215" t="s">
        <v>400</v>
      </c>
      <c r="K372" s="754"/>
    </row>
    <row r="373" spans="1:11" s="27" customFormat="1" x14ac:dyDescent="0.25">
      <c r="A373" s="67"/>
      <c r="B373" s="76" t="s">
        <v>428</v>
      </c>
      <c r="C373" s="12" t="s">
        <v>33</v>
      </c>
      <c r="D373" s="97">
        <v>5.57</v>
      </c>
      <c r="E373" s="56"/>
      <c r="F373" s="56"/>
      <c r="G373" s="56"/>
      <c r="H373" s="56"/>
      <c r="I373" s="56"/>
      <c r="J373" s="215" t="s">
        <v>400</v>
      </c>
      <c r="K373" s="754"/>
    </row>
    <row r="374" spans="1:11" s="27" customFormat="1" x14ac:dyDescent="0.25">
      <c r="A374" s="67"/>
      <c r="B374" s="76" t="s">
        <v>429</v>
      </c>
      <c r="C374" s="12" t="s">
        <v>33</v>
      </c>
      <c r="D374" s="97">
        <v>3.22</v>
      </c>
      <c r="E374" s="56"/>
      <c r="F374" s="56"/>
      <c r="G374" s="56"/>
      <c r="H374" s="56"/>
      <c r="I374" s="56"/>
      <c r="J374" s="215" t="s">
        <v>400</v>
      </c>
      <c r="K374" s="754"/>
    </row>
    <row r="375" spans="1:11" s="180" customFormat="1" x14ac:dyDescent="0.25">
      <c r="A375" s="182"/>
      <c r="B375" s="280" t="s">
        <v>411</v>
      </c>
      <c r="C375" s="2" t="s">
        <v>33</v>
      </c>
      <c r="D375" s="183">
        <v>0.6</v>
      </c>
      <c r="E375" s="179"/>
      <c r="F375" s="179"/>
      <c r="G375" s="179"/>
      <c r="H375" s="179"/>
      <c r="I375" s="179"/>
      <c r="J375" s="276" t="s">
        <v>650</v>
      </c>
      <c r="K375" s="754"/>
    </row>
    <row r="376" spans="1:11" s="27" customFormat="1" x14ac:dyDescent="0.25">
      <c r="A376" s="66" t="s">
        <v>32</v>
      </c>
      <c r="B376" s="65" t="s">
        <v>461</v>
      </c>
      <c r="C376" s="28" t="s">
        <v>0</v>
      </c>
      <c r="D376" s="48">
        <v>338.5</v>
      </c>
      <c r="E376" s="56"/>
      <c r="F376" s="56"/>
      <c r="G376" s="56"/>
      <c r="H376" s="56"/>
      <c r="I376" s="56"/>
      <c r="J376" s="215"/>
      <c r="K376" s="754"/>
    </row>
    <row r="377" spans="1:11" s="27" customFormat="1" x14ac:dyDescent="0.25">
      <c r="A377" s="67"/>
      <c r="B377" s="51" t="s">
        <v>414</v>
      </c>
      <c r="C377" s="17" t="s">
        <v>0</v>
      </c>
      <c r="D377" s="71">
        <v>345.27</v>
      </c>
      <c r="E377" s="56"/>
      <c r="F377" s="56"/>
      <c r="G377" s="56"/>
      <c r="H377" s="56"/>
      <c r="I377" s="56"/>
      <c r="J377" s="215" t="s">
        <v>415</v>
      </c>
      <c r="K377" s="755"/>
    </row>
    <row r="378" spans="1:11" s="27" customFormat="1" x14ac:dyDescent="0.2">
      <c r="A378" s="67"/>
      <c r="B378" s="279" t="s">
        <v>462</v>
      </c>
      <c r="C378" s="70" t="s">
        <v>390</v>
      </c>
      <c r="D378" s="71">
        <v>22.25</v>
      </c>
      <c r="E378" s="777" t="s">
        <v>639</v>
      </c>
      <c r="F378" s="778"/>
      <c r="G378" s="778"/>
      <c r="H378" s="778"/>
      <c r="I378" s="778"/>
      <c r="J378" s="779"/>
      <c r="K378" s="56"/>
    </row>
    <row r="379" spans="1:11" s="27" customFormat="1" x14ac:dyDescent="0.25">
      <c r="A379" s="66" t="s">
        <v>137</v>
      </c>
      <c r="B379" s="50" t="s">
        <v>463</v>
      </c>
      <c r="C379" s="28"/>
      <c r="D379" s="48">
        <v>20.94</v>
      </c>
      <c r="E379" s="56"/>
      <c r="F379" s="56"/>
      <c r="G379" s="56"/>
      <c r="H379" s="56"/>
      <c r="I379" s="56"/>
      <c r="J379" s="224"/>
      <c r="K379" s="753" t="s">
        <v>626</v>
      </c>
    </row>
    <row r="380" spans="1:11" s="27" customFormat="1" x14ac:dyDescent="0.25">
      <c r="A380" s="67"/>
      <c r="B380" s="76" t="s">
        <v>450</v>
      </c>
      <c r="C380" s="17" t="s">
        <v>33</v>
      </c>
      <c r="D380" s="25">
        <v>0.23</v>
      </c>
      <c r="E380" s="56"/>
      <c r="F380" s="56"/>
      <c r="G380" s="56"/>
      <c r="H380" s="56"/>
      <c r="I380" s="56"/>
      <c r="J380" s="215" t="s">
        <v>400</v>
      </c>
      <c r="K380" s="754"/>
    </row>
    <row r="381" spans="1:11" s="27" customFormat="1" x14ac:dyDescent="0.25">
      <c r="A381" s="67"/>
      <c r="B381" s="76" t="s">
        <v>401</v>
      </c>
      <c r="C381" s="17" t="s">
        <v>33</v>
      </c>
      <c r="D381" s="25">
        <v>3.91</v>
      </c>
      <c r="E381" s="56"/>
      <c r="F381" s="56"/>
      <c r="G381" s="56"/>
      <c r="H381" s="56"/>
      <c r="I381" s="56"/>
      <c r="J381" s="215" t="s">
        <v>400</v>
      </c>
      <c r="K381" s="754"/>
    </row>
    <row r="382" spans="1:11" s="27" customFormat="1" x14ac:dyDescent="0.25">
      <c r="A382" s="67"/>
      <c r="B382" s="76" t="s">
        <v>429</v>
      </c>
      <c r="C382" s="17" t="s">
        <v>33</v>
      </c>
      <c r="D382" s="25">
        <v>8.66</v>
      </c>
      <c r="E382" s="56"/>
      <c r="F382" s="56"/>
      <c r="G382" s="56"/>
      <c r="H382" s="56"/>
      <c r="I382" s="56"/>
      <c r="J382" s="215" t="s">
        <v>400</v>
      </c>
      <c r="K382" s="754"/>
    </row>
    <row r="383" spans="1:11" s="27" customFormat="1" x14ac:dyDescent="0.25">
      <c r="A383" s="67"/>
      <c r="B383" s="78" t="s">
        <v>430</v>
      </c>
      <c r="C383" s="17" t="s">
        <v>33</v>
      </c>
      <c r="D383" s="25">
        <v>6.26</v>
      </c>
      <c r="E383" s="56"/>
      <c r="F383" s="56"/>
      <c r="G383" s="56"/>
      <c r="H383" s="56"/>
      <c r="I383" s="56"/>
      <c r="J383" s="215" t="s">
        <v>400</v>
      </c>
      <c r="K383" s="754"/>
    </row>
    <row r="384" spans="1:11" s="27" customFormat="1" x14ac:dyDescent="0.25">
      <c r="A384" s="67"/>
      <c r="B384" s="78" t="s">
        <v>431</v>
      </c>
      <c r="C384" s="17" t="s">
        <v>33</v>
      </c>
      <c r="D384" s="25">
        <v>1.82</v>
      </c>
      <c r="E384" s="56"/>
      <c r="F384" s="56"/>
      <c r="G384" s="56"/>
      <c r="H384" s="56"/>
      <c r="I384" s="56"/>
      <c r="J384" s="215"/>
      <c r="K384" s="754"/>
    </row>
    <row r="385" spans="1:11" s="27" customFormat="1" x14ac:dyDescent="0.25">
      <c r="A385" s="67"/>
      <c r="B385" s="76" t="s">
        <v>411</v>
      </c>
      <c r="C385" s="17" t="s">
        <v>33</v>
      </c>
      <c r="D385" s="25">
        <v>0.21</v>
      </c>
      <c r="E385" s="56"/>
      <c r="F385" s="56"/>
      <c r="G385" s="56"/>
      <c r="H385" s="56"/>
      <c r="I385" s="56"/>
      <c r="J385" s="276" t="s">
        <v>650</v>
      </c>
      <c r="K385" s="754"/>
    </row>
    <row r="386" spans="1:11" s="27" customFormat="1" x14ac:dyDescent="0.25">
      <c r="A386" s="66" t="s">
        <v>140</v>
      </c>
      <c r="B386" s="98" t="s">
        <v>464</v>
      </c>
      <c r="C386" s="28" t="s">
        <v>0</v>
      </c>
      <c r="D386" s="48">
        <v>65.2</v>
      </c>
      <c r="E386" s="56"/>
      <c r="F386" s="56"/>
      <c r="G386" s="56"/>
      <c r="H386" s="56"/>
      <c r="I386" s="56"/>
      <c r="J386" s="215"/>
      <c r="K386" s="754"/>
    </row>
    <row r="387" spans="1:11" s="27" customFormat="1" x14ac:dyDescent="0.25">
      <c r="A387" s="67"/>
      <c r="B387" s="76" t="s">
        <v>433</v>
      </c>
      <c r="C387" s="70" t="s">
        <v>0</v>
      </c>
      <c r="D387" s="71">
        <v>66.5</v>
      </c>
      <c r="E387" s="56"/>
      <c r="F387" s="56"/>
      <c r="G387" s="56"/>
      <c r="H387" s="56"/>
      <c r="I387" s="56"/>
      <c r="J387" s="215" t="s">
        <v>415</v>
      </c>
      <c r="K387" s="754"/>
    </row>
    <row r="388" spans="1:11" s="27" customFormat="1" x14ac:dyDescent="0.25">
      <c r="A388" s="66" t="s">
        <v>144</v>
      </c>
      <c r="B388" s="102" t="s">
        <v>465</v>
      </c>
      <c r="C388" s="28" t="s">
        <v>33</v>
      </c>
      <c r="D388" s="48">
        <v>7.33</v>
      </c>
      <c r="E388" s="56"/>
      <c r="F388" s="56"/>
      <c r="G388" s="56"/>
      <c r="H388" s="56"/>
      <c r="I388" s="56"/>
      <c r="J388" s="215"/>
      <c r="K388" s="755"/>
    </row>
    <row r="389" spans="1:11" s="27" customFormat="1" x14ac:dyDescent="0.25">
      <c r="A389" s="67"/>
      <c r="B389" s="76" t="s">
        <v>399</v>
      </c>
      <c r="C389" s="17" t="s">
        <v>33</v>
      </c>
      <c r="D389" s="71">
        <v>0.08</v>
      </c>
      <c r="E389" s="56"/>
      <c r="F389" s="56"/>
      <c r="G389" s="56"/>
      <c r="H389" s="56"/>
      <c r="I389" s="56"/>
      <c r="J389" s="215" t="s">
        <v>400</v>
      </c>
      <c r="K389" s="56"/>
    </row>
    <row r="390" spans="1:11" s="27" customFormat="1" x14ac:dyDescent="0.25">
      <c r="A390" s="67"/>
      <c r="B390" s="76" t="s">
        <v>401</v>
      </c>
      <c r="C390" s="17" t="s">
        <v>33</v>
      </c>
      <c r="D390" s="71">
        <v>1.7</v>
      </c>
      <c r="E390" s="56"/>
      <c r="F390" s="56"/>
      <c r="G390" s="56"/>
      <c r="H390" s="56"/>
      <c r="I390" s="56"/>
      <c r="J390" s="215" t="s">
        <v>400</v>
      </c>
      <c r="K390" s="56"/>
    </row>
    <row r="391" spans="1:11" s="27" customFormat="1" x14ac:dyDescent="0.25">
      <c r="A391" s="67"/>
      <c r="B391" s="76" t="s">
        <v>426</v>
      </c>
      <c r="C391" s="17" t="s">
        <v>33</v>
      </c>
      <c r="D391" s="71">
        <v>3.11</v>
      </c>
      <c r="E391" s="56"/>
      <c r="F391" s="56"/>
      <c r="G391" s="56"/>
      <c r="H391" s="56"/>
      <c r="I391" s="56"/>
      <c r="J391" s="215" t="s">
        <v>400</v>
      </c>
      <c r="K391" s="56"/>
    </row>
    <row r="392" spans="1:11" s="27" customFormat="1" x14ac:dyDescent="0.25">
      <c r="A392" s="67"/>
      <c r="B392" s="76" t="s">
        <v>404</v>
      </c>
      <c r="C392" s="17" t="s">
        <v>33</v>
      </c>
      <c r="D392" s="71">
        <v>2.44</v>
      </c>
      <c r="E392" s="56"/>
      <c r="F392" s="56"/>
      <c r="G392" s="56"/>
      <c r="H392" s="56"/>
      <c r="I392" s="56"/>
      <c r="J392" s="215" t="s">
        <v>400</v>
      </c>
      <c r="K392" s="56"/>
    </row>
    <row r="393" spans="1:11" s="180" customFormat="1" x14ac:dyDescent="0.25">
      <c r="A393" s="175"/>
      <c r="B393" s="176" t="s">
        <v>411</v>
      </c>
      <c r="C393" s="177" t="s">
        <v>33</v>
      </c>
      <c r="D393" s="181">
        <v>7.0000000000000007E-2</v>
      </c>
      <c r="E393" s="179"/>
      <c r="F393" s="179"/>
      <c r="G393" s="179"/>
      <c r="H393" s="179"/>
      <c r="I393" s="179"/>
      <c r="J393" s="276" t="s">
        <v>650</v>
      </c>
      <c r="K393" s="179"/>
    </row>
    <row r="394" spans="1:11" s="27" customFormat="1" x14ac:dyDescent="0.25">
      <c r="A394" s="66" t="s">
        <v>149</v>
      </c>
      <c r="B394" s="103" t="s">
        <v>466</v>
      </c>
      <c r="C394" s="28" t="s">
        <v>0</v>
      </c>
      <c r="D394" s="48">
        <v>63.6</v>
      </c>
      <c r="E394" s="56"/>
      <c r="F394" s="56"/>
      <c r="G394" s="56"/>
      <c r="H394" s="56"/>
      <c r="I394" s="56"/>
      <c r="J394" s="215"/>
      <c r="K394" s="56"/>
    </row>
    <row r="395" spans="1:11" s="27" customFormat="1" x14ac:dyDescent="0.25">
      <c r="A395" s="67"/>
      <c r="B395" s="76" t="s">
        <v>433</v>
      </c>
      <c r="C395" s="70" t="s">
        <v>0</v>
      </c>
      <c r="D395" s="71">
        <v>64.87</v>
      </c>
      <c r="E395" s="56"/>
      <c r="F395" s="56"/>
      <c r="G395" s="56"/>
      <c r="H395" s="56"/>
      <c r="I395" s="56"/>
      <c r="J395" s="215" t="s">
        <v>415</v>
      </c>
      <c r="K395" s="56"/>
    </row>
    <row r="396" spans="1:11" s="27" customFormat="1" x14ac:dyDescent="0.25">
      <c r="A396" s="66" t="s">
        <v>151</v>
      </c>
      <c r="B396" s="65" t="s">
        <v>467</v>
      </c>
      <c r="C396" s="28" t="s">
        <v>33</v>
      </c>
      <c r="D396" s="48">
        <v>27.02</v>
      </c>
      <c r="E396" s="56"/>
      <c r="F396" s="56"/>
      <c r="G396" s="56"/>
      <c r="H396" s="56"/>
      <c r="I396" s="56"/>
      <c r="J396" s="215"/>
      <c r="K396" s="56"/>
    </row>
    <row r="397" spans="1:11" s="27" customFormat="1" x14ac:dyDescent="0.25">
      <c r="A397" s="67"/>
      <c r="B397" s="76" t="s">
        <v>399</v>
      </c>
      <c r="C397" s="17" t="s">
        <v>92</v>
      </c>
      <c r="D397" s="25">
        <v>80</v>
      </c>
      <c r="E397" s="56"/>
      <c r="F397" s="56"/>
      <c r="G397" s="56"/>
      <c r="H397" s="56"/>
      <c r="I397" s="56"/>
      <c r="J397" s="215" t="s">
        <v>400</v>
      </c>
      <c r="K397" s="56"/>
    </row>
    <row r="398" spans="1:11" s="27" customFormat="1" x14ac:dyDescent="0.25">
      <c r="A398" s="67"/>
      <c r="B398" s="76" t="s">
        <v>450</v>
      </c>
      <c r="C398" s="17" t="s">
        <v>33</v>
      </c>
      <c r="D398" s="25">
        <v>1.56</v>
      </c>
      <c r="E398" s="56"/>
      <c r="F398" s="56"/>
      <c r="G398" s="56"/>
      <c r="H398" s="56"/>
      <c r="I398" s="56"/>
      <c r="J398" s="215" t="s">
        <v>400</v>
      </c>
      <c r="K398" s="56"/>
    </row>
    <row r="399" spans="1:11" s="27" customFormat="1" x14ac:dyDescent="0.25">
      <c r="A399" s="67"/>
      <c r="B399" s="76" t="s">
        <v>401</v>
      </c>
      <c r="C399" s="17" t="s">
        <v>33</v>
      </c>
      <c r="D399" s="25">
        <v>0.97</v>
      </c>
      <c r="E399" s="56"/>
      <c r="F399" s="56"/>
      <c r="G399" s="56"/>
      <c r="H399" s="56"/>
      <c r="I399" s="56"/>
      <c r="J399" s="215" t="s">
        <v>400</v>
      </c>
      <c r="K399" s="56"/>
    </row>
    <row r="400" spans="1:11" s="27" customFormat="1" x14ac:dyDescent="0.25">
      <c r="A400" s="67"/>
      <c r="B400" s="76" t="s">
        <v>426</v>
      </c>
      <c r="C400" s="17" t="s">
        <v>33</v>
      </c>
      <c r="D400" s="25">
        <v>0.72</v>
      </c>
      <c r="E400" s="56"/>
      <c r="F400" s="56"/>
      <c r="G400" s="56"/>
      <c r="H400" s="56"/>
      <c r="I400" s="56"/>
      <c r="J400" s="215" t="s">
        <v>400</v>
      </c>
      <c r="K400" s="56"/>
    </row>
    <row r="401" spans="1:11" s="27" customFormat="1" x14ac:dyDescent="0.25">
      <c r="A401" s="67"/>
      <c r="B401" s="76" t="s">
        <v>427</v>
      </c>
      <c r="C401" s="17" t="s">
        <v>33</v>
      </c>
      <c r="D401" s="25">
        <v>11.27</v>
      </c>
      <c r="E401" s="56"/>
      <c r="F401" s="56"/>
      <c r="G401" s="56"/>
      <c r="H401" s="56"/>
      <c r="I401" s="56"/>
      <c r="J401" s="215" t="s">
        <v>400</v>
      </c>
      <c r="K401" s="56"/>
    </row>
    <row r="402" spans="1:11" s="27" customFormat="1" x14ac:dyDescent="0.25">
      <c r="A402" s="67"/>
      <c r="B402" s="76" t="s">
        <v>404</v>
      </c>
      <c r="C402" s="17" t="s">
        <v>33</v>
      </c>
      <c r="D402" s="25">
        <v>5.61</v>
      </c>
      <c r="E402" s="56"/>
      <c r="F402" s="56"/>
      <c r="G402" s="56"/>
      <c r="H402" s="56"/>
      <c r="I402" s="56"/>
      <c r="J402" s="215" t="s">
        <v>400</v>
      </c>
      <c r="K402" s="56"/>
    </row>
    <row r="403" spans="1:11" s="27" customFormat="1" x14ac:dyDescent="0.25">
      <c r="A403" s="67"/>
      <c r="B403" s="76" t="s">
        <v>428</v>
      </c>
      <c r="C403" s="17" t="s">
        <v>33</v>
      </c>
      <c r="D403" s="25">
        <v>5.07</v>
      </c>
      <c r="E403" s="56"/>
      <c r="F403" s="56"/>
      <c r="G403" s="56"/>
      <c r="H403" s="56"/>
      <c r="I403" s="56"/>
      <c r="J403" s="215" t="s">
        <v>400</v>
      </c>
      <c r="K403" s="56"/>
    </row>
    <row r="404" spans="1:11" s="27" customFormat="1" x14ac:dyDescent="0.25">
      <c r="A404" s="67"/>
      <c r="B404" s="76" t="s">
        <v>429</v>
      </c>
      <c r="C404" s="17" t="s">
        <v>33</v>
      </c>
      <c r="D404" s="25">
        <v>1.75</v>
      </c>
      <c r="E404" s="56"/>
      <c r="F404" s="56"/>
      <c r="G404" s="56"/>
      <c r="H404" s="56"/>
      <c r="I404" s="56"/>
      <c r="J404" s="215" t="s">
        <v>400</v>
      </c>
      <c r="K404" s="56"/>
    </row>
    <row r="405" spans="1:11" s="180" customFormat="1" x14ac:dyDescent="0.25">
      <c r="A405" s="175"/>
      <c r="B405" s="176" t="s">
        <v>411</v>
      </c>
      <c r="C405" s="177" t="s">
        <v>33</v>
      </c>
      <c r="D405" s="178">
        <v>0.27</v>
      </c>
      <c r="E405" s="179"/>
      <c r="F405" s="179"/>
      <c r="G405" s="179"/>
      <c r="H405" s="179"/>
      <c r="I405" s="179"/>
      <c r="J405" s="276" t="s">
        <v>650</v>
      </c>
      <c r="K405" s="179"/>
    </row>
    <row r="406" spans="1:11" s="27" customFormat="1" ht="36" x14ac:dyDescent="0.25">
      <c r="A406" s="66" t="s">
        <v>160</v>
      </c>
      <c r="B406" s="65" t="s">
        <v>468</v>
      </c>
      <c r="C406" s="28" t="s">
        <v>0</v>
      </c>
      <c r="D406" s="48">
        <v>215</v>
      </c>
      <c r="E406" s="56"/>
      <c r="F406" s="56"/>
      <c r="G406" s="56"/>
      <c r="H406" s="56"/>
      <c r="I406" s="56"/>
      <c r="J406" s="215" t="s">
        <v>469</v>
      </c>
      <c r="K406" s="56"/>
    </row>
    <row r="407" spans="1:11" s="27" customFormat="1" x14ac:dyDescent="0.25">
      <c r="A407" s="67"/>
      <c r="B407" s="76" t="s">
        <v>470</v>
      </c>
      <c r="C407" s="70" t="s">
        <v>0</v>
      </c>
      <c r="D407" s="71">
        <v>197.88</v>
      </c>
      <c r="E407" s="56"/>
      <c r="F407" s="56"/>
      <c r="G407" s="56"/>
      <c r="H407" s="56"/>
      <c r="I407" s="56"/>
      <c r="J407" s="215" t="s">
        <v>415</v>
      </c>
      <c r="K407" s="56"/>
    </row>
    <row r="408" spans="1:11" s="27" customFormat="1" x14ac:dyDescent="0.25">
      <c r="A408" s="67"/>
      <c r="B408" s="76" t="s">
        <v>471</v>
      </c>
      <c r="C408" s="70" t="s">
        <v>0</v>
      </c>
      <c r="D408" s="71">
        <v>1.02</v>
      </c>
      <c r="E408" s="56"/>
      <c r="F408" s="56"/>
      <c r="G408" s="56"/>
      <c r="H408" s="56"/>
      <c r="I408" s="56"/>
      <c r="J408" s="215" t="s">
        <v>415</v>
      </c>
      <c r="K408" s="56"/>
    </row>
    <row r="409" spans="1:11" s="27" customFormat="1" x14ac:dyDescent="0.25">
      <c r="A409" s="67"/>
      <c r="B409" s="76" t="s">
        <v>470</v>
      </c>
      <c r="C409" s="70" t="s">
        <v>0</v>
      </c>
      <c r="D409" s="71">
        <v>20.399999999999999</v>
      </c>
      <c r="E409" s="56"/>
      <c r="F409" s="56"/>
      <c r="G409" s="56"/>
      <c r="H409" s="56"/>
      <c r="I409" s="56"/>
      <c r="J409" s="215" t="s">
        <v>415</v>
      </c>
      <c r="K409" s="56"/>
    </row>
    <row r="410" spans="1:11" s="81" customFormat="1" ht="15" x14ac:dyDescent="0.25">
      <c r="A410" s="162"/>
      <c r="B410" s="163" t="s">
        <v>472</v>
      </c>
      <c r="C410" s="163"/>
      <c r="D410" s="163"/>
      <c r="E410" s="164"/>
      <c r="F410" s="164"/>
      <c r="G410" s="164"/>
      <c r="H410" s="164"/>
      <c r="I410" s="164"/>
      <c r="J410" s="232"/>
      <c r="K410" s="238"/>
    </row>
    <row r="411" spans="1:11" s="81" customFormat="1" ht="15" x14ac:dyDescent="0.25">
      <c r="A411" s="29" t="s">
        <v>163</v>
      </c>
      <c r="B411" s="85" t="s">
        <v>473</v>
      </c>
      <c r="C411" s="83" t="s">
        <v>33</v>
      </c>
      <c r="D411" s="83">
        <v>20.37</v>
      </c>
      <c r="E411" s="80"/>
      <c r="F411" s="80"/>
      <c r="G411" s="80"/>
      <c r="H411" s="80"/>
      <c r="I411" s="80"/>
      <c r="J411" s="227"/>
      <c r="K411" s="238"/>
    </row>
    <row r="412" spans="1:11" s="81" customFormat="1" ht="15" x14ac:dyDescent="0.25">
      <c r="A412" s="79"/>
      <c r="B412" s="93" t="s">
        <v>450</v>
      </c>
      <c r="C412" s="94" t="s">
        <v>33</v>
      </c>
      <c r="D412" s="89">
        <v>0.26</v>
      </c>
      <c r="E412" s="80"/>
      <c r="F412" s="80"/>
      <c r="G412" s="80"/>
      <c r="H412" s="80"/>
      <c r="I412" s="80"/>
      <c r="J412" s="208" t="s">
        <v>400</v>
      </c>
      <c r="K412" s="238"/>
    </row>
    <row r="413" spans="1:11" s="81" customFormat="1" ht="15" x14ac:dyDescent="0.25">
      <c r="A413" s="79"/>
      <c r="B413" s="93" t="s">
        <v>401</v>
      </c>
      <c r="C413" s="94" t="s">
        <v>33</v>
      </c>
      <c r="D413" s="89">
        <v>2.62</v>
      </c>
      <c r="E413" s="80"/>
      <c r="F413" s="80"/>
      <c r="G413" s="80"/>
      <c r="H413" s="80"/>
      <c r="I413" s="80"/>
      <c r="J413" s="208" t="s">
        <v>400</v>
      </c>
      <c r="K413" s="238"/>
    </row>
    <row r="414" spans="1:11" s="81" customFormat="1" ht="15" x14ac:dyDescent="0.25">
      <c r="A414" s="79"/>
      <c r="B414" s="93" t="s">
        <v>428</v>
      </c>
      <c r="C414" s="94" t="s">
        <v>33</v>
      </c>
      <c r="D414" s="89">
        <v>0.28999999999999998</v>
      </c>
      <c r="E414" s="80"/>
      <c r="F414" s="80"/>
      <c r="G414" s="80"/>
      <c r="H414" s="80"/>
      <c r="I414" s="80"/>
      <c r="J414" s="208" t="s">
        <v>400</v>
      </c>
      <c r="K414" s="238"/>
    </row>
    <row r="415" spans="1:11" s="81" customFormat="1" ht="15" x14ac:dyDescent="0.25">
      <c r="A415" s="79"/>
      <c r="B415" s="93" t="s">
        <v>429</v>
      </c>
      <c r="C415" s="94" t="s">
        <v>33</v>
      </c>
      <c r="D415" s="89">
        <v>12.36</v>
      </c>
      <c r="E415" s="80"/>
      <c r="F415" s="80"/>
      <c r="G415" s="80"/>
      <c r="H415" s="80"/>
      <c r="I415" s="80"/>
      <c r="J415" s="208" t="s">
        <v>400</v>
      </c>
      <c r="K415" s="238"/>
    </row>
    <row r="416" spans="1:11" s="81" customFormat="1" ht="15" x14ac:dyDescent="0.25">
      <c r="A416" s="79"/>
      <c r="B416" s="93" t="s">
        <v>408</v>
      </c>
      <c r="C416" s="94" t="s">
        <v>33</v>
      </c>
      <c r="D416" s="89">
        <v>1.7</v>
      </c>
      <c r="E416" s="80"/>
      <c r="F416" s="80"/>
      <c r="G416" s="80"/>
      <c r="H416" s="80"/>
      <c r="I416" s="80"/>
      <c r="J416" s="208" t="s">
        <v>400</v>
      </c>
      <c r="K416" s="238"/>
    </row>
    <row r="417" spans="1:11" s="81" customFormat="1" ht="15" x14ac:dyDescent="0.25">
      <c r="A417" s="79"/>
      <c r="B417" s="93" t="s">
        <v>431</v>
      </c>
      <c r="C417" s="94" t="s">
        <v>33</v>
      </c>
      <c r="D417" s="89">
        <v>3.14</v>
      </c>
      <c r="E417" s="80"/>
      <c r="F417" s="80"/>
      <c r="G417" s="80"/>
      <c r="H417" s="80"/>
      <c r="I417" s="80"/>
      <c r="J417" s="208" t="s">
        <v>400</v>
      </c>
      <c r="K417" s="238"/>
    </row>
    <row r="418" spans="1:11" s="81" customFormat="1" ht="15" x14ac:dyDescent="0.25">
      <c r="A418" s="79"/>
      <c r="B418" s="93" t="s">
        <v>411</v>
      </c>
      <c r="C418" s="94" t="s">
        <v>33</v>
      </c>
      <c r="D418" s="89">
        <v>0.2</v>
      </c>
      <c r="E418" s="80"/>
      <c r="F418" s="80"/>
      <c r="G418" s="80"/>
      <c r="H418" s="80"/>
      <c r="I418" s="80"/>
      <c r="J418" s="276" t="s">
        <v>650</v>
      </c>
      <c r="K418" s="238"/>
    </row>
    <row r="419" spans="1:11" s="81" customFormat="1" ht="15" x14ac:dyDescent="0.25">
      <c r="A419" s="29" t="s">
        <v>165</v>
      </c>
      <c r="B419" s="85" t="s">
        <v>474</v>
      </c>
      <c r="C419" s="83" t="s">
        <v>0</v>
      </c>
      <c r="D419" s="83">
        <v>52.88</v>
      </c>
      <c r="E419" s="80"/>
      <c r="F419" s="80"/>
      <c r="G419" s="80"/>
      <c r="H419" s="80"/>
      <c r="I419" s="80"/>
      <c r="J419" s="227"/>
      <c r="K419" s="238"/>
    </row>
    <row r="420" spans="1:11" s="81" customFormat="1" ht="15" x14ac:dyDescent="0.25">
      <c r="A420" s="79"/>
      <c r="B420" s="91" t="s">
        <v>414</v>
      </c>
      <c r="C420" s="88" t="s">
        <v>0</v>
      </c>
      <c r="D420" s="88">
        <v>53.93</v>
      </c>
      <c r="E420" s="80"/>
      <c r="F420" s="80"/>
      <c r="G420" s="80"/>
      <c r="H420" s="80"/>
      <c r="I420" s="80"/>
      <c r="J420" s="228" t="s">
        <v>415</v>
      </c>
      <c r="K420" s="238"/>
    </row>
    <row r="421" spans="1:11" s="81" customFormat="1" ht="15" x14ac:dyDescent="0.25">
      <c r="A421" s="29" t="s">
        <v>167</v>
      </c>
      <c r="B421" s="85" t="s">
        <v>475</v>
      </c>
      <c r="C421" s="83" t="s">
        <v>33</v>
      </c>
      <c r="D421" s="83">
        <v>46.86</v>
      </c>
      <c r="E421" s="80"/>
      <c r="F421" s="80"/>
      <c r="G421" s="80"/>
      <c r="H421" s="80"/>
      <c r="I421" s="80"/>
      <c r="J421" s="227"/>
      <c r="K421" s="238"/>
    </row>
    <row r="422" spans="1:11" s="81" customFormat="1" ht="15" x14ac:dyDescent="0.25">
      <c r="A422" s="79"/>
      <c r="B422" s="93" t="s">
        <v>399</v>
      </c>
      <c r="C422" s="88" t="s">
        <v>33</v>
      </c>
      <c r="D422" s="105">
        <v>0.45</v>
      </c>
      <c r="E422" s="80"/>
      <c r="F422" s="80"/>
      <c r="G422" s="80"/>
      <c r="H422" s="80"/>
      <c r="I422" s="80"/>
      <c r="J422" s="208" t="s">
        <v>400</v>
      </c>
      <c r="K422" s="238"/>
    </row>
    <row r="423" spans="1:11" s="81" customFormat="1" ht="15" x14ac:dyDescent="0.25">
      <c r="A423" s="79"/>
      <c r="B423" s="93" t="s">
        <v>426</v>
      </c>
      <c r="C423" s="88" t="s">
        <v>33</v>
      </c>
      <c r="D423" s="105">
        <v>15.96</v>
      </c>
      <c r="E423" s="80"/>
      <c r="F423" s="80"/>
      <c r="G423" s="80"/>
      <c r="H423" s="80"/>
      <c r="I423" s="80"/>
      <c r="J423" s="208" t="s">
        <v>400</v>
      </c>
      <c r="K423" s="238"/>
    </row>
    <row r="424" spans="1:11" s="81" customFormat="1" ht="15" x14ac:dyDescent="0.25">
      <c r="A424" s="79"/>
      <c r="B424" s="93" t="s">
        <v>427</v>
      </c>
      <c r="C424" s="88" t="s">
        <v>33</v>
      </c>
      <c r="D424" s="105">
        <v>0.59</v>
      </c>
      <c r="E424" s="80"/>
      <c r="F424" s="80"/>
      <c r="G424" s="80"/>
      <c r="H424" s="80"/>
      <c r="I424" s="80"/>
      <c r="J424" s="208" t="s">
        <v>400</v>
      </c>
      <c r="K424" s="238"/>
    </row>
    <row r="425" spans="1:11" s="81" customFormat="1" ht="15" x14ac:dyDescent="0.25">
      <c r="A425" s="79"/>
      <c r="B425" s="93" t="s">
        <v>440</v>
      </c>
      <c r="C425" s="88" t="s">
        <v>33</v>
      </c>
      <c r="D425" s="105">
        <v>28.78</v>
      </c>
      <c r="E425" s="80"/>
      <c r="F425" s="80"/>
      <c r="G425" s="80"/>
      <c r="H425" s="80"/>
      <c r="I425" s="80"/>
      <c r="J425" s="208" t="s">
        <v>400</v>
      </c>
      <c r="K425" s="238"/>
    </row>
    <row r="426" spans="1:11" s="81" customFormat="1" ht="15" x14ac:dyDescent="0.25">
      <c r="A426" s="79"/>
      <c r="B426" s="93" t="s">
        <v>405</v>
      </c>
      <c r="C426" s="88" t="s">
        <v>33</v>
      </c>
      <c r="D426" s="105">
        <v>0.08</v>
      </c>
      <c r="E426" s="80"/>
      <c r="F426" s="80"/>
      <c r="G426" s="80"/>
      <c r="H426" s="80"/>
      <c r="I426" s="80"/>
      <c r="J426" s="208" t="s">
        <v>400</v>
      </c>
      <c r="K426" s="238"/>
    </row>
    <row r="427" spans="1:11" s="81" customFormat="1" ht="15" x14ac:dyDescent="0.25">
      <c r="A427" s="79"/>
      <c r="B427" s="93" t="s">
        <v>407</v>
      </c>
      <c r="C427" s="88" t="s">
        <v>33</v>
      </c>
      <c r="D427" s="105">
        <v>0.17</v>
      </c>
      <c r="E427" s="80"/>
      <c r="F427" s="80"/>
      <c r="G427" s="80"/>
      <c r="H427" s="80"/>
      <c r="I427" s="80"/>
      <c r="K427" s="238"/>
    </row>
    <row r="428" spans="1:11" s="81" customFormat="1" ht="15" x14ac:dyDescent="0.25">
      <c r="A428" s="79"/>
      <c r="B428" s="93" t="s">
        <v>411</v>
      </c>
      <c r="C428" s="88" t="s">
        <v>33</v>
      </c>
      <c r="D428" s="105">
        <v>0.47</v>
      </c>
      <c r="E428" s="80"/>
      <c r="F428" s="80"/>
      <c r="G428" s="80"/>
      <c r="H428" s="80"/>
      <c r="I428" s="80"/>
      <c r="J428" s="276" t="s">
        <v>650</v>
      </c>
      <c r="K428" s="238"/>
    </row>
    <row r="429" spans="1:11" s="81" customFormat="1" ht="15" x14ac:dyDescent="0.25">
      <c r="A429" s="104"/>
      <c r="B429" s="93" t="s">
        <v>441</v>
      </c>
      <c r="C429" s="94" t="s">
        <v>33</v>
      </c>
      <c r="D429" s="89">
        <v>0.02</v>
      </c>
      <c r="E429" s="80"/>
      <c r="F429" s="80"/>
      <c r="G429" s="80"/>
      <c r="H429" s="80"/>
      <c r="I429" s="80"/>
      <c r="J429" s="208" t="s">
        <v>115</v>
      </c>
      <c r="K429" s="238"/>
    </row>
    <row r="430" spans="1:11" s="81" customFormat="1" ht="15" x14ac:dyDescent="0.25">
      <c r="A430" s="29" t="s">
        <v>170</v>
      </c>
      <c r="B430" s="106" t="s">
        <v>476</v>
      </c>
      <c r="C430" s="83" t="s">
        <v>0</v>
      </c>
      <c r="D430" s="83">
        <v>312.05</v>
      </c>
      <c r="E430" s="80"/>
      <c r="F430" s="80"/>
      <c r="G430" s="80"/>
      <c r="H430" s="80"/>
      <c r="I430" s="80"/>
      <c r="J430" s="227"/>
      <c r="K430" s="238"/>
    </row>
    <row r="431" spans="1:11" s="81" customFormat="1" ht="15" x14ac:dyDescent="0.25">
      <c r="A431" s="79"/>
      <c r="B431" s="87" t="s">
        <v>477</v>
      </c>
      <c r="C431" s="88" t="s">
        <v>0</v>
      </c>
      <c r="D431" s="88">
        <v>318.29000000000002</v>
      </c>
      <c r="E431" s="80"/>
      <c r="F431" s="80"/>
      <c r="G431" s="80"/>
      <c r="H431" s="80"/>
      <c r="I431" s="80"/>
      <c r="J431" s="228" t="s">
        <v>415</v>
      </c>
      <c r="K431" s="238"/>
    </row>
    <row r="432" spans="1:11" s="81" customFormat="1" ht="15" x14ac:dyDescent="0.25">
      <c r="A432" s="165"/>
      <c r="B432" s="163" t="s">
        <v>478</v>
      </c>
      <c r="C432" s="163"/>
      <c r="D432" s="163"/>
      <c r="E432" s="164"/>
      <c r="F432" s="164"/>
      <c r="G432" s="164"/>
      <c r="H432" s="164"/>
      <c r="I432" s="164"/>
      <c r="J432" s="232"/>
      <c r="K432" s="238"/>
    </row>
    <row r="433" spans="1:11" s="81" customFormat="1" ht="15" x14ac:dyDescent="0.25">
      <c r="A433" s="165"/>
      <c r="B433" s="166" t="s">
        <v>479</v>
      </c>
      <c r="C433" s="164"/>
      <c r="D433" s="164"/>
      <c r="E433" s="164"/>
      <c r="F433" s="164"/>
      <c r="G433" s="164"/>
      <c r="H433" s="164"/>
      <c r="I433" s="164"/>
      <c r="J433" s="233"/>
      <c r="K433" s="238"/>
    </row>
    <row r="434" spans="1:11" s="81" customFormat="1" ht="15" x14ac:dyDescent="0.25">
      <c r="A434" s="29" t="s">
        <v>172</v>
      </c>
      <c r="B434" s="107" t="s">
        <v>480</v>
      </c>
      <c r="C434" s="108" t="s">
        <v>0</v>
      </c>
      <c r="D434" s="108">
        <v>180</v>
      </c>
      <c r="E434" s="80"/>
      <c r="F434" s="80"/>
      <c r="G434" s="80"/>
      <c r="H434" s="80"/>
      <c r="I434" s="80"/>
      <c r="J434" s="227"/>
      <c r="K434" s="238"/>
    </row>
    <row r="435" spans="1:11" s="81" customFormat="1" ht="15" x14ac:dyDescent="0.25">
      <c r="A435" s="80"/>
      <c r="B435" s="282" t="s">
        <v>481</v>
      </c>
      <c r="C435" s="88" t="s">
        <v>0</v>
      </c>
      <c r="D435" s="79">
        <v>198</v>
      </c>
      <c r="E435" s="777" t="s">
        <v>638</v>
      </c>
      <c r="F435" s="778"/>
      <c r="G435" s="778"/>
      <c r="H435" s="778"/>
      <c r="I435" s="779"/>
      <c r="J435" s="268" t="s">
        <v>482</v>
      </c>
      <c r="K435" s="238"/>
    </row>
    <row r="436" spans="1:11" s="81" customFormat="1" ht="15" x14ac:dyDescent="0.25">
      <c r="A436" s="29" t="s">
        <v>176</v>
      </c>
      <c r="B436" s="85" t="s">
        <v>483</v>
      </c>
      <c r="C436" s="83" t="s">
        <v>89</v>
      </c>
      <c r="D436" s="83">
        <v>101</v>
      </c>
      <c r="E436" s="80"/>
      <c r="F436" s="80"/>
      <c r="G436" s="80"/>
      <c r="H436" s="80"/>
      <c r="I436" s="80"/>
      <c r="J436" s="227"/>
      <c r="K436" s="238"/>
    </row>
    <row r="437" spans="1:11" s="81" customFormat="1" ht="15" x14ac:dyDescent="0.25">
      <c r="A437" s="29"/>
      <c r="B437" s="281" t="s">
        <v>484</v>
      </c>
      <c r="C437" s="88" t="s">
        <v>89</v>
      </c>
      <c r="D437" s="88">
        <v>111.1</v>
      </c>
      <c r="E437" s="777" t="s">
        <v>637</v>
      </c>
      <c r="F437" s="778"/>
      <c r="G437" s="778"/>
      <c r="H437" s="778"/>
      <c r="I437" s="779"/>
      <c r="J437" s="268" t="s">
        <v>482</v>
      </c>
      <c r="K437" s="238"/>
    </row>
    <row r="438" spans="1:11" s="81" customFormat="1" ht="15" x14ac:dyDescent="0.25">
      <c r="A438" s="80"/>
      <c r="B438" s="87" t="s">
        <v>395</v>
      </c>
      <c r="C438" s="88" t="s">
        <v>0</v>
      </c>
      <c r="D438" s="88">
        <v>0.08</v>
      </c>
      <c r="E438" s="777"/>
      <c r="F438" s="778"/>
      <c r="G438" s="778"/>
      <c r="H438" s="778"/>
      <c r="I438" s="779"/>
      <c r="J438" s="228" t="s">
        <v>396</v>
      </c>
      <c r="K438" s="238"/>
    </row>
    <row r="439" spans="1:11" s="81" customFormat="1" ht="15" x14ac:dyDescent="0.25">
      <c r="A439" s="80"/>
      <c r="B439" s="87" t="s">
        <v>485</v>
      </c>
      <c r="C439" s="88" t="s">
        <v>0</v>
      </c>
      <c r="D439" s="88">
        <v>0.01</v>
      </c>
      <c r="E439" s="777"/>
      <c r="F439" s="778"/>
      <c r="G439" s="778"/>
      <c r="H439" s="778"/>
      <c r="I439" s="779"/>
      <c r="J439" s="227"/>
      <c r="K439" s="238"/>
    </row>
    <row r="440" spans="1:11" s="81" customFormat="1" ht="15" x14ac:dyDescent="0.25">
      <c r="A440" s="29" t="s">
        <v>180</v>
      </c>
      <c r="B440" s="85" t="s">
        <v>486</v>
      </c>
      <c r="C440" s="83" t="s">
        <v>33</v>
      </c>
      <c r="D440" s="95">
        <v>8.31</v>
      </c>
      <c r="E440" s="80"/>
      <c r="F440" s="80"/>
      <c r="G440" s="80"/>
      <c r="H440" s="80"/>
      <c r="I440" s="80"/>
      <c r="J440" s="227"/>
      <c r="K440" s="238"/>
    </row>
    <row r="441" spans="1:11" s="81" customFormat="1" ht="15" x14ac:dyDescent="0.25">
      <c r="A441" s="80"/>
      <c r="B441" s="93" t="s">
        <v>459</v>
      </c>
      <c r="C441" s="88" t="s">
        <v>33</v>
      </c>
      <c r="D441" s="105">
        <v>0.28999999999999998</v>
      </c>
      <c r="E441" s="80"/>
      <c r="F441" s="80"/>
      <c r="G441" s="80"/>
      <c r="H441" s="80"/>
      <c r="I441" s="80"/>
      <c r="J441" s="228" t="s">
        <v>487</v>
      </c>
      <c r="K441" s="238"/>
    </row>
    <row r="442" spans="1:11" s="81" customFormat="1" ht="15" x14ac:dyDescent="0.25">
      <c r="A442" s="80"/>
      <c r="B442" s="93" t="s">
        <v>488</v>
      </c>
      <c r="C442" s="88" t="s">
        <v>33</v>
      </c>
      <c r="D442" s="105">
        <v>1.52</v>
      </c>
      <c r="E442" s="80"/>
      <c r="F442" s="80"/>
      <c r="G442" s="80"/>
      <c r="H442" s="80"/>
      <c r="I442" s="80"/>
      <c r="J442" s="228" t="s">
        <v>487</v>
      </c>
      <c r="K442" s="238"/>
    </row>
    <row r="443" spans="1:11" s="81" customFormat="1" ht="15" x14ac:dyDescent="0.25">
      <c r="A443" s="80"/>
      <c r="B443" s="93" t="s">
        <v>450</v>
      </c>
      <c r="C443" s="88" t="s">
        <v>33</v>
      </c>
      <c r="D443" s="105">
        <v>0.12</v>
      </c>
      <c r="E443" s="80"/>
      <c r="F443" s="80"/>
      <c r="G443" s="80"/>
      <c r="H443" s="80"/>
      <c r="I443" s="80"/>
      <c r="J443" s="228" t="s">
        <v>487</v>
      </c>
      <c r="K443" s="238"/>
    </row>
    <row r="444" spans="1:11" s="81" customFormat="1" ht="15" x14ac:dyDescent="0.25">
      <c r="A444" s="80"/>
      <c r="B444" s="93" t="s">
        <v>426</v>
      </c>
      <c r="C444" s="88" t="s">
        <v>33</v>
      </c>
      <c r="D444" s="105">
        <v>3.32</v>
      </c>
      <c r="E444" s="80"/>
      <c r="F444" s="80"/>
      <c r="G444" s="80"/>
      <c r="H444" s="80"/>
      <c r="I444" s="80"/>
      <c r="J444" s="228"/>
      <c r="K444" s="238"/>
    </row>
    <row r="445" spans="1:11" s="81" customFormat="1" ht="15" x14ac:dyDescent="0.25">
      <c r="A445" s="80"/>
      <c r="B445" s="93" t="s">
        <v>440</v>
      </c>
      <c r="C445" s="88" t="s">
        <v>33</v>
      </c>
      <c r="D445" s="105">
        <v>3.06</v>
      </c>
      <c r="E445" s="80"/>
      <c r="F445" s="80"/>
      <c r="G445" s="80"/>
      <c r="H445" s="80"/>
      <c r="I445" s="80"/>
      <c r="J445" s="228" t="s">
        <v>487</v>
      </c>
      <c r="K445" s="238"/>
    </row>
    <row r="446" spans="1:11" s="81" customFormat="1" ht="15" x14ac:dyDescent="0.25">
      <c r="A446" s="80"/>
      <c r="B446" s="93" t="s">
        <v>411</v>
      </c>
      <c r="C446" s="88" t="s">
        <v>33</v>
      </c>
      <c r="D446" s="109">
        <v>0.83</v>
      </c>
      <c r="E446" s="80"/>
      <c r="F446" s="80"/>
      <c r="G446" s="80"/>
      <c r="H446" s="80"/>
      <c r="I446" s="80"/>
      <c r="J446" s="276" t="s">
        <v>650</v>
      </c>
      <c r="K446" s="238"/>
    </row>
    <row r="447" spans="1:11" s="81" customFormat="1" ht="15" x14ac:dyDescent="0.25">
      <c r="A447" s="29" t="s">
        <v>256</v>
      </c>
      <c r="B447" s="110" t="s">
        <v>489</v>
      </c>
      <c r="C447" s="83" t="s">
        <v>0</v>
      </c>
      <c r="D447" s="84">
        <v>54</v>
      </c>
      <c r="E447" s="80"/>
      <c r="F447" s="80"/>
      <c r="G447" s="80"/>
      <c r="H447" s="80"/>
      <c r="I447" s="80"/>
      <c r="J447" s="227"/>
      <c r="K447" s="238"/>
    </row>
    <row r="448" spans="1:11" s="81" customFormat="1" ht="15" x14ac:dyDescent="0.25">
      <c r="A448" s="80"/>
      <c r="B448" s="87" t="s">
        <v>490</v>
      </c>
      <c r="C448" s="88" t="s">
        <v>0</v>
      </c>
      <c r="D448" s="88">
        <v>55.08</v>
      </c>
      <c r="E448" s="80"/>
      <c r="F448" s="80"/>
      <c r="G448" s="80"/>
      <c r="H448" s="80"/>
      <c r="I448" s="80"/>
      <c r="J448" s="228" t="s">
        <v>491</v>
      </c>
      <c r="K448" s="238"/>
    </row>
    <row r="449" spans="1:11" s="81" customFormat="1" ht="15" x14ac:dyDescent="0.25">
      <c r="A449" s="29" t="s">
        <v>258</v>
      </c>
      <c r="B449" s="110" t="s">
        <v>492</v>
      </c>
      <c r="C449" s="83"/>
      <c r="D449" s="83"/>
      <c r="E449" s="80"/>
      <c r="F449" s="80"/>
      <c r="G449" s="80"/>
      <c r="H449" s="80"/>
      <c r="I449" s="80"/>
      <c r="J449" s="227"/>
      <c r="K449" s="238"/>
    </row>
    <row r="450" spans="1:11" s="81" customFormat="1" ht="15" x14ac:dyDescent="0.25">
      <c r="A450" s="80"/>
      <c r="B450" s="87" t="s">
        <v>493</v>
      </c>
      <c r="C450" s="88" t="s">
        <v>0</v>
      </c>
      <c r="D450" s="89">
        <v>0.1</v>
      </c>
      <c r="E450" s="780" t="s">
        <v>651</v>
      </c>
      <c r="F450" s="781"/>
      <c r="G450" s="781"/>
      <c r="H450" s="781"/>
      <c r="I450" s="782"/>
      <c r="J450" s="228" t="s">
        <v>494</v>
      </c>
      <c r="K450" s="238"/>
    </row>
    <row r="451" spans="1:11" s="81" customFormat="1" ht="15" x14ac:dyDescent="0.25">
      <c r="A451" s="80"/>
      <c r="B451" s="87" t="s">
        <v>395</v>
      </c>
      <c r="C451" s="88" t="s">
        <v>0</v>
      </c>
      <c r="D451" s="89">
        <v>1.1000000000000001</v>
      </c>
      <c r="E451" s="783"/>
      <c r="F451" s="784"/>
      <c r="G451" s="784"/>
      <c r="H451" s="784"/>
      <c r="I451" s="785"/>
      <c r="J451" s="228" t="s">
        <v>396</v>
      </c>
      <c r="K451" s="238"/>
    </row>
    <row r="452" spans="1:11" s="81" customFormat="1" ht="15" x14ac:dyDescent="0.25">
      <c r="A452" s="80"/>
      <c r="B452" s="87" t="s">
        <v>495</v>
      </c>
      <c r="C452" s="88" t="s">
        <v>390</v>
      </c>
      <c r="D452" s="88">
        <v>36.299999999999997</v>
      </c>
      <c r="E452" s="783"/>
      <c r="F452" s="784"/>
      <c r="G452" s="784"/>
      <c r="H452" s="784"/>
      <c r="I452" s="785"/>
      <c r="J452" s="228" t="s">
        <v>496</v>
      </c>
      <c r="K452" s="238"/>
    </row>
    <row r="453" spans="1:11" s="81" customFormat="1" ht="15" x14ac:dyDescent="0.25">
      <c r="A453" s="80"/>
      <c r="B453" s="87" t="s">
        <v>497</v>
      </c>
      <c r="C453" s="88" t="s">
        <v>390</v>
      </c>
      <c r="D453" s="88">
        <v>36.299999999999997</v>
      </c>
      <c r="E453" s="783"/>
      <c r="F453" s="784"/>
      <c r="G453" s="784"/>
      <c r="H453" s="784"/>
      <c r="I453" s="785"/>
      <c r="J453" s="228" t="s">
        <v>496</v>
      </c>
      <c r="K453" s="238"/>
    </row>
    <row r="454" spans="1:11" s="81" customFormat="1" ht="15" x14ac:dyDescent="0.25">
      <c r="A454" s="80"/>
      <c r="B454" s="87" t="s">
        <v>393</v>
      </c>
      <c r="C454" s="88" t="s">
        <v>390</v>
      </c>
      <c r="D454" s="88">
        <v>130.65</v>
      </c>
      <c r="E454" s="783"/>
      <c r="F454" s="784"/>
      <c r="G454" s="784"/>
      <c r="H454" s="784"/>
      <c r="I454" s="785"/>
      <c r="J454" s="228" t="s">
        <v>394</v>
      </c>
      <c r="K454" s="238"/>
    </row>
    <row r="455" spans="1:11" s="81" customFormat="1" ht="15" x14ac:dyDescent="0.25">
      <c r="A455" s="80"/>
      <c r="B455" s="87" t="s">
        <v>498</v>
      </c>
      <c r="C455" s="88" t="s">
        <v>60</v>
      </c>
      <c r="D455" s="88">
        <v>36.299999999999997</v>
      </c>
      <c r="E455" s="786"/>
      <c r="F455" s="787"/>
      <c r="G455" s="787"/>
      <c r="H455" s="787"/>
      <c r="I455" s="788"/>
      <c r="J455" s="228" t="s">
        <v>499</v>
      </c>
      <c r="K455" s="238"/>
    </row>
    <row r="456" spans="1:11" s="81" customFormat="1" ht="26.25" x14ac:dyDescent="0.25">
      <c r="A456" s="29" t="s">
        <v>183</v>
      </c>
      <c r="B456" s="107" t="s">
        <v>500</v>
      </c>
      <c r="C456" s="108" t="s">
        <v>33</v>
      </c>
      <c r="D456" s="108">
        <v>103.65</v>
      </c>
      <c r="E456" s="80"/>
      <c r="F456" s="80"/>
      <c r="G456" s="80"/>
      <c r="H456" s="80"/>
      <c r="I456" s="80"/>
      <c r="J456" s="228"/>
      <c r="K456" s="792" t="s">
        <v>625</v>
      </c>
    </row>
    <row r="457" spans="1:11" s="81" customFormat="1" ht="15" x14ac:dyDescent="0.25">
      <c r="A457" s="32"/>
      <c r="B457" s="93" t="s">
        <v>399</v>
      </c>
      <c r="C457" s="88" t="s">
        <v>33</v>
      </c>
      <c r="D457" s="88">
        <v>0.09</v>
      </c>
      <c r="E457" s="80"/>
      <c r="F457" s="80"/>
      <c r="G457" s="80"/>
      <c r="H457" s="80"/>
      <c r="I457" s="80"/>
      <c r="J457" s="228" t="s">
        <v>501</v>
      </c>
      <c r="K457" s="793"/>
    </row>
    <row r="458" spans="1:11" s="81" customFormat="1" ht="15" x14ac:dyDescent="0.25">
      <c r="A458" s="80"/>
      <c r="B458" s="93" t="s">
        <v>459</v>
      </c>
      <c r="C458" s="88" t="s">
        <v>33</v>
      </c>
      <c r="D458" s="89">
        <v>1.2</v>
      </c>
      <c r="E458" s="80"/>
      <c r="F458" s="80"/>
      <c r="G458" s="80"/>
      <c r="H458" s="80"/>
      <c r="I458" s="80"/>
      <c r="J458" s="228" t="s">
        <v>501</v>
      </c>
      <c r="K458" s="793"/>
    </row>
    <row r="459" spans="1:11" s="81" customFormat="1" ht="15" x14ac:dyDescent="0.25">
      <c r="A459" s="80"/>
      <c r="B459" s="93" t="s">
        <v>450</v>
      </c>
      <c r="C459" s="88" t="s">
        <v>33</v>
      </c>
      <c r="D459" s="88">
        <v>0.11</v>
      </c>
      <c r="E459" s="80"/>
      <c r="F459" s="80"/>
      <c r="G459" s="80"/>
      <c r="H459" s="80"/>
      <c r="I459" s="80"/>
      <c r="J459" s="228" t="s">
        <v>501</v>
      </c>
      <c r="K459" s="793"/>
    </row>
    <row r="460" spans="1:11" s="81" customFormat="1" ht="15" x14ac:dyDescent="0.25">
      <c r="A460" s="80"/>
      <c r="B460" s="93" t="s">
        <v>401</v>
      </c>
      <c r="C460" s="88" t="s">
        <v>33</v>
      </c>
      <c r="D460" s="88">
        <v>1.38</v>
      </c>
      <c r="E460" s="80"/>
      <c r="F460" s="80"/>
      <c r="G460" s="80"/>
      <c r="H460" s="80"/>
      <c r="I460" s="80"/>
      <c r="J460" s="228" t="s">
        <v>501</v>
      </c>
      <c r="K460" s="793"/>
    </row>
    <row r="461" spans="1:11" s="81" customFormat="1" ht="15" x14ac:dyDescent="0.25">
      <c r="A461" s="80"/>
      <c r="B461" s="93" t="s">
        <v>426</v>
      </c>
      <c r="C461" s="88" t="s">
        <v>33</v>
      </c>
      <c r="D461" s="88">
        <v>4.17</v>
      </c>
      <c r="E461" s="80"/>
      <c r="F461" s="80"/>
      <c r="G461" s="80"/>
      <c r="H461" s="80"/>
      <c r="I461" s="80"/>
      <c r="J461" s="228" t="s">
        <v>501</v>
      </c>
      <c r="K461" s="793"/>
    </row>
    <row r="462" spans="1:11" s="81" customFormat="1" ht="15" x14ac:dyDescent="0.25">
      <c r="A462" s="80"/>
      <c r="B462" s="93" t="s">
        <v>427</v>
      </c>
      <c r="C462" s="88" t="s">
        <v>33</v>
      </c>
      <c r="D462" s="88">
        <v>6.18</v>
      </c>
      <c r="E462" s="80"/>
      <c r="F462" s="80"/>
      <c r="G462" s="80"/>
      <c r="H462" s="80"/>
      <c r="I462" s="80"/>
      <c r="J462" s="228" t="s">
        <v>501</v>
      </c>
      <c r="K462" s="793"/>
    </row>
    <row r="463" spans="1:11" s="81" customFormat="1" ht="15" x14ac:dyDescent="0.25">
      <c r="A463" s="80"/>
      <c r="B463" s="93" t="s">
        <v>440</v>
      </c>
      <c r="C463" s="88" t="s">
        <v>33</v>
      </c>
      <c r="D463" s="88">
        <v>0.14000000000000001</v>
      </c>
      <c r="E463" s="80"/>
      <c r="F463" s="80"/>
      <c r="G463" s="80"/>
      <c r="H463" s="80"/>
      <c r="I463" s="80"/>
      <c r="J463" s="228" t="s">
        <v>501</v>
      </c>
      <c r="K463" s="793"/>
    </row>
    <row r="464" spans="1:11" s="81" customFormat="1" ht="15" x14ac:dyDescent="0.25">
      <c r="A464" s="80"/>
      <c r="B464" s="93" t="s">
        <v>428</v>
      </c>
      <c r="C464" s="88" t="s">
        <v>33</v>
      </c>
      <c r="D464" s="88">
        <v>64.67</v>
      </c>
      <c r="E464" s="80"/>
      <c r="F464" s="80"/>
      <c r="G464" s="80"/>
      <c r="H464" s="80"/>
      <c r="I464" s="80"/>
      <c r="J464" s="228" t="s">
        <v>501</v>
      </c>
      <c r="K464" s="793"/>
    </row>
    <row r="465" spans="1:11" s="81" customFormat="1" ht="15" x14ac:dyDescent="0.25">
      <c r="A465" s="80"/>
      <c r="B465" s="93" t="s">
        <v>429</v>
      </c>
      <c r="C465" s="88" t="s">
        <v>33</v>
      </c>
      <c r="D465" s="88">
        <v>7.21</v>
      </c>
      <c r="E465" s="80"/>
      <c r="F465" s="80"/>
      <c r="G465" s="80"/>
      <c r="H465" s="80"/>
      <c r="I465" s="80"/>
      <c r="J465" s="228" t="s">
        <v>501</v>
      </c>
      <c r="K465" s="793"/>
    </row>
    <row r="466" spans="1:11" s="81" customFormat="1" ht="15" x14ac:dyDescent="0.25">
      <c r="A466" s="80"/>
      <c r="B466" s="93" t="s">
        <v>430</v>
      </c>
      <c r="C466" s="88" t="s">
        <v>33</v>
      </c>
      <c r="D466" s="88">
        <v>3.22</v>
      </c>
      <c r="E466" s="80"/>
      <c r="F466" s="80"/>
      <c r="G466" s="80"/>
      <c r="H466" s="80"/>
      <c r="I466" s="80"/>
      <c r="J466" s="228"/>
      <c r="K466" s="793"/>
    </row>
    <row r="467" spans="1:11" s="81" customFormat="1" ht="15" x14ac:dyDescent="0.25">
      <c r="A467" s="80"/>
      <c r="B467" s="93" t="s">
        <v>431</v>
      </c>
      <c r="C467" s="88" t="s">
        <v>33</v>
      </c>
      <c r="D467" s="88">
        <v>15.28</v>
      </c>
      <c r="E467" s="80"/>
      <c r="F467" s="80"/>
      <c r="G467" s="80"/>
      <c r="H467" s="80"/>
      <c r="I467" s="80"/>
      <c r="J467" s="228"/>
      <c r="K467" s="793"/>
    </row>
    <row r="468" spans="1:11" s="81" customFormat="1" ht="15" x14ac:dyDescent="0.25">
      <c r="A468" s="80"/>
      <c r="B468" s="93" t="s">
        <v>411</v>
      </c>
      <c r="C468" s="88" t="s">
        <v>33</v>
      </c>
      <c r="D468" s="89">
        <v>1.04</v>
      </c>
      <c r="E468" s="80"/>
      <c r="F468" s="80"/>
      <c r="G468" s="80"/>
      <c r="H468" s="80"/>
      <c r="I468" s="80"/>
      <c r="J468" s="276" t="s">
        <v>650</v>
      </c>
      <c r="K468" s="793"/>
    </row>
    <row r="469" spans="1:11" s="81" customFormat="1" ht="26.25" x14ac:dyDescent="0.25">
      <c r="A469" s="29" t="s">
        <v>193</v>
      </c>
      <c r="B469" s="65" t="s">
        <v>502</v>
      </c>
      <c r="C469" s="108" t="s">
        <v>0</v>
      </c>
      <c r="D469" s="111">
        <v>347</v>
      </c>
      <c r="E469" s="80"/>
      <c r="F469" s="80"/>
      <c r="G469" s="80"/>
      <c r="H469" s="80"/>
      <c r="I469" s="80"/>
      <c r="J469" s="234" t="s">
        <v>503</v>
      </c>
      <c r="K469" s="794"/>
    </row>
    <row r="470" spans="1:11" s="81" customFormat="1" ht="15" x14ac:dyDescent="0.25">
      <c r="A470" s="87"/>
      <c r="B470" s="87" t="s">
        <v>414</v>
      </c>
      <c r="C470" s="88" t="s">
        <v>0</v>
      </c>
      <c r="D470" s="88">
        <v>353.94</v>
      </c>
      <c r="E470" s="87"/>
      <c r="F470" s="87"/>
      <c r="G470" s="87"/>
      <c r="H470" s="87"/>
      <c r="I470" s="87"/>
      <c r="J470" s="228" t="s">
        <v>491</v>
      </c>
      <c r="K470" s="238"/>
    </row>
    <row r="471" spans="1:11" s="81" customFormat="1" ht="15" x14ac:dyDescent="0.25">
      <c r="A471" s="29" t="s">
        <v>199</v>
      </c>
      <c r="B471" s="110" t="s">
        <v>504</v>
      </c>
      <c r="C471" s="83" t="s">
        <v>390</v>
      </c>
      <c r="D471" s="83">
        <v>74.2</v>
      </c>
      <c r="E471" s="87"/>
      <c r="F471" s="87"/>
      <c r="G471" s="87"/>
      <c r="H471" s="87"/>
      <c r="I471" s="87"/>
      <c r="J471" s="228"/>
      <c r="K471" s="238"/>
    </row>
    <row r="472" spans="1:11" s="81" customFormat="1" ht="15" x14ac:dyDescent="0.25">
      <c r="A472" s="87"/>
      <c r="B472" s="87" t="s">
        <v>493</v>
      </c>
      <c r="C472" s="88" t="s">
        <v>0</v>
      </c>
      <c r="D472" s="89">
        <v>0.2</v>
      </c>
      <c r="E472" s="780" t="s">
        <v>651</v>
      </c>
      <c r="F472" s="781"/>
      <c r="G472" s="781"/>
      <c r="H472" s="781"/>
      <c r="I472" s="782"/>
      <c r="J472" s="228" t="s">
        <v>494</v>
      </c>
      <c r="K472" s="238"/>
    </row>
    <row r="473" spans="1:11" s="81" customFormat="1" ht="15" x14ac:dyDescent="0.25">
      <c r="A473" s="87"/>
      <c r="B473" s="87" t="s">
        <v>395</v>
      </c>
      <c r="C473" s="88" t="s">
        <v>0</v>
      </c>
      <c r="D473" s="89">
        <v>2.5</v>
      </c>
      <c r="E473" s="783"/>
      <c r="F473" s="784"/>
      <c r="G473" s="784"/>
      <c r="H473" s="784"/>
      <c r="I473" s="785"/>
      <c r="J473" s="228" t="s">
        <v>396</v>
      </c>
      <c r="K473" s="238"/>
    </row>
    <row r="474" spans="1:11" s="81" customFormat="1" ht="15" x14ac:dyDescent="0.25">
      <c r="A474" s="87"/>
      <c r="B474" s="87" t="s">
        <v>495</v>
      </c>
      <c r="C474" s="88" t="s">
        <v>390</v>
      </c>
      <c r="D474" s="88">
        <v>74.2</v>
      </c>
      <c r="E474" s="783"/>
      <c r="F474" s="784"/>
      <c r="G474" s="784"/>
      <c r="H474" s="784"/>
      <c r="I474" s="785"/>
      <c r="J474" s="228" t="s">
        <v>496</v>
      </c>
      <c r="K474" s="238"/>
    </row>
    <row r="475" spans="1:11" s="81" customFormat="1" ht="15" x14ac:dyDescent="0.25">
      <c r="A475" s="87"/>
      <c r="B475" s="87" t="s">
        <v>497</v>
      </c>
      <c r="C475" s="88" t="s">
        <v>390</v>
      </c>
      <c r="D475" s="88">
        <v>74.2</v>
      </c>
      <c r="E475" s="783"/>
      <c r="F475" s="784"/>
      <c r="G475" s="784"/>
      <c r="H475" s="784"/>
      <c r="I475" s="785"/>
      <c r="J475" s="228" t="s">
        <v>496</v>
      </c>
      <c r="K475" s="238"/>
    </row>
    <row r="476" spans="1:11" s="81" customFormat="1" ht="15" x14ac:dyDescent="0.25">
      <c r="A476" s="87"/>
      <c r="B476" s="87" t="s">
        <v>393</v>
      </c>
      <c r="C476" s="88" t="s">
        <v>390</v>
      </c>
      <c r="D476" s="88">
        <v>267.93</v>
      </c>
      <c r="E476" s="783"/>
      <c r="F476" s="784"/>
      <c r="G476" s="784"/>
      <c r="H476" s="784"/>
      <c r="I476" s="785"/>
      <c r="J476" s="228" t="s">
        <v>394</v>
      </c>
      <c r="K476" s="238"/>
    </row>
    <row r="477" spans="1:11" s="81" customFormat="1" ht="15" x14ac:dyDescent="0.25">
      <c r="A477" s="87"/>
      <c r="B477" s="87" t="s">
        <v>498</v>
      </c>
      <c r="C477" s="88" t="s">
        <v>60</v>
      </c>
      <c r="D477" s="89">
        <v>74.2</v>
      </c>
      <c r="E477" s="786"/>
      <c r="F477" s="787"/>
      <c r="G477" s="787"/>
      <c r="H477" s="787"/>
      <c r="I477" s="788"/>
      <c r="J477" s="228" t="s">
        <v>499</v>
      </c>
      <c r="K477" s="238"/>
    </row>
    <row r="478" spans="1:11" s="81" customFormat="1" ht="26.25" x14ac:dyDescent="0.25">
      <c r="A478" s="29" t="s">
        <v>201</v>
      </c>
      <c r="B478" s="107" t="s">
        <v>505</v>
      </c>
      <c r="C478" s="108" t="s">
        <v>33</v>
      </c>
      <c r="D478" s="108">
        <v>211.23</v>
      </c>
      <c r="E478" s="87"/>
      <c r="F478" s="87"/>
      <c r="G478" s="87"/>
      <c r="H478" s="87"/>
      <c r="I478" s="87"/>
      <c r="J478" s="228"/>
      <c r="K478" s="238"/>
    </row>
    <row r="479" spans="1:11" s="81" customFormat="1" ht="15" x14ac:dyDescent="0.25">
      <c r="A479" s="32"/>
      <c r="B479" s="93" t="s">
        <v>399</v>
      </c>
      <c r="C479" s="88" t="s">
        <v>33</v>
      </c>
      <c r="D479" s="88">
        <v>0.19</v>
      </c>
      <c r="E479" s="87"/>
      <c r="F479" s="87"/>
      <c r="G479" s="87"/>
      <c r="H479" s="87"/>
      <c r="I479" s="87"/>
      <c r="J479" s="228"/>
      <c r="K479" s="238"/>
    </row>
    <row r="480" spans="1:11" s="81" customFormat="1" ht="15" x14ac:dyDescent="0.25">
      <c r="A480" s="80"/>
      <c r="B480" s="93" t="s">
        <v>459</v>
      </c>
      <c r="C480" s="88" t="s">
        <v>33</v>
      </c>
      <c r="D480" s="88">
        <v>3.13</v>
      </c>
      <c r="E480" s="80"/>
      <c r="F480" s="80"/>
      <c r="G480" s="80"/>
      <c r="H480" s="80"/>
      <c r="I480" s="80"/>
      <c r="J480" s="228" t="s">
        <v>501</v>
      </c>
      <c r="K480" s="238"/>
    </row>
    <row r="481" spans="1:11" s="81" customFormat="1" ht="15" x14ac:dyDescent="0.25">
      <c r="A481" s="80"/>
      <c r="B481" s="93" t="s">
        <v>450</v>
      </c>
      <c r="C481" s="88" t="s">
        <v>33</v>
      </c>
      <c r="D481" s="88">
        <v>0.25</v>
      </c>
      <c r="E481" s="80"/>
      <c r="F481" s="80"/>
      <c r="G481" s="80"/>
      <c r="H481" s="80"/>
      <c r="I481" s="80"/>
      <c r="J481" s="228" t="s">
        <v>501</v>
      </c>
      <c r="K481" s="238"/>
    </row>
    <row r="482" spans="1:11" s="81" customFormat="1" ht="15" x14ac:dyDescent="0.25">
      <c r="A482" s="80"/>
      <c r="B482" s="93" t="s">
        <v>401</v>
      </c>
      <c r="C482" s="88" t="s">
        <v>33</v>
      </c>
      <c r="D482" s="88">
        <v>3.13</v>
      </c>
      <c r="E482" s="80"/>
      <c r="F482" s="80"/>
      <c r="G482" s="80"/>
      <c r="H482" s="80"/>
      <c r="I482" s="80"/>
      <c r="J482" s="228" t="s">
        <v>501</v>
      </c>
      <c r="K482" s="238"/>
    </row>
    <row r="483" spans="1:11" s="81" customFormat="1" ht="15" x14ac:dyDescent="0.25">
      <c r="A483" s="80"/>
      <c r="B483" s="93" t="s">
        <v>426</v>
      </c>
      <c r="C483" s="88" t="s">
        <v>33</v>
      </c>
      <c r="D483" s="88">
        <v>10.28</v>
      </c>
      <c r="E483" s="80"/>
      <c r="F483" s="80"/>
      <c r="G483" s="80"/>
      <c r="H483" s="80"/>
      <c r="I483" s="80"/>
      <c r="J483" s="228" t="s">
        <v>501</v>
      </c>
      <c r="K483" s="238"/>
    </row>
    <row r="484" spans="1:11" s="81" customFormat="1" ht="15" x14ac:dyDescent="0.25">
      <c r="A484" s="80"/>
      <c r="B484" s="93" t="s">
        <v>427</v>
      </c>
      <c r="C484" s="88" t="s">
        <v>33</v>
      </c>
      <c r="D484" s="88">
        <v>13.26</v>
      </c>
      <c r="E484" s="80"/>
      <c r="F484" s="80"/>
      <c r="G484" s="80"/>
      <c r="H484" s="80"/>
      <c r="I484" s="80"/>
      <c r="J484" s="228" t="s">
        <v>501</v>
      </c>
      <c r="K484" s="238"/>
    </row>
    <row r="485" spans="1:11" s="81" customFormat="1" ht="15" x14ac:dyDescent="0.25">
      <c r="A485" s="80"/>
      <c r="B485" s="93" t="s">
        <v>440</v>
      </c>
      <c r="C485" s="88" t="s">
        <v>33</v>
      </c>
      <c r="D485" s="88">
        <v>0.52</v>
      </c>
      <c r="E485" s="80"/>
      <c r="F485" s="80"/>
      <c r="G485" s="80"/>
      <c r="H485" s="80"/>
      <c r="I485" s="80"/>
      <c r="J485" s="228" t="s">
        <v>501</v>
      </c>
      <c r="K485" s="238"/>
    </row>
    <row r="486" spans="1:11" s="81" customFormat="1" ht="15" x14ac:dyDescent="0.25">
      <c r="A486" s="80"/>
      <c r="B486" s="93" t="s">
        <v>428</v>
      </c>
      <c r="C486" s="88" t="s">
        <v>33</v>
      </c>
      <c r="D486" s="89">
        <v>144.99</v>
      </c>
      <c r="E486" s="80"/>
      <c r="F486" s="80"/>
      <c r="G486" s="80"/>
      <c r="H486" s="80"/>
      <c r="I486" s="80"/>
      <c r="J486" s="228" t="s">
        <v>501</v>
      </c>
      <c r="K486" s="238"/>
    </row>
    <row r="487" spans="1:11" s="81" customFormat="1" ht="15" x14ac:dyDescent="0.25">
      <c r="A487" s="80"/>
      <c r="B487" s="93" t="s">
        <v>429</v>
      </c>
      <c r="C487" s="88" t="s">
        <v>33</v>
      </c>
      <c r="D487" s="88">
        <v>8.6</v>
      </c>
      <c r="E487" s="80"/>
      <c r="F487" s="80"/>
      <c r="G487" s="80"/>
      <c r="H487" s="80"/>
      <c r="I487" s="80"/>
      <c r="J487" s="228" t="s">
        <v>501</v>
      </c>
      <c r="K487" s="238"/>
    </row>
    <row r="488" spans="1:11" s="81" customFormat="1" ht="15" x14ac:dyDescent="0.25">
      <c r="A488" s="80"/>
      <c r="B488" s="93" t="s">
        <v>430</v>
      </c>
      <c r="C488" s="88" t="s">
        <v>33</v>
      </c>
      <c r="D488" s="94">
        <v>16.13</v>
      </c>
      <c r="E488" s="80"/>
      <c r="F488" s="80"/>
      <c r="G488" s="80"/>
      <c r="H488" s="80"/>
      <c r="I488" s="80"/>
      <c r="J488" s="228" t="s">
        <v>501</v>
      </c>
      <c r="K488" s="238"/>
    </row>
    <row r="489" spans="1:11" s="81" customFormat="1" ht="15" x14ac:dyDescent="0.25">
      <c r="A489" s="80"/>
      <c r="B489" s="93" t="s">
        <v>431</v>
      </c>
      <c r="C489" s="88" t="s">
        <v>33</v>
      </c>
      <c r="D489" s="94">
        <v>10.75</v>
      </c>
      <c r="E489" s="80"/>
      <c r="F489" s="80"/>
      <c r="G489" s="80"/>
      <c r="H489" s="80"/>
      <c r="I489" s="80"/>
      <c r="J489" s="228" t="s">
        <v>501</v>
      </c>
      <c r="K489" s="238"/>
    </row>
    <row r="490" spans="1:11" s="81" customFormat="1" ht="15" x14ac:dyDescent="0.25">
      <c r="A490" s="80"/>
      <c r="B490" s="93" t="s">
        <v>411</v>
      </c>
      <c r="C490" s="88" t="s">
        <v>33</v>
      </c>
      <c r="D490" s="89">
        <v>2.11</v>
      </c>
      <c r="E490" s="80"/>
      <c r="F490" s="80"/>
      <c r="G490" s="80"/>
      <c r="H490" s="80"/>
      <c r="I490" s="80"/>
      <c r="J490" s="276" t="s">
        <v>650</v>
      </c>
      <c r="K490" s="238"/>
    </row>
    <row r="491" spans="1:11" s="81" customFormat="1" ht="25.5" x14ac:dyDescent="0.25">
      <c r="A491" s="29" t="s">
        <v>203</v>
      </c>
      <c r="B491" s="65" t="s">
        <v>506</v>
      </c>
      <c r="C491" s="108" t="s">
        <v>0</v>
      </c>
      <c r="D491" s="111">
        <v>875</v>
      </c>
      <c r="E491" s="87"/>
      <c r="F491" s="87"/>
      <c r="G491" s="87"/>
      <c r="H491" s="87"/>
      <c r="I491" s="87"/>
      <c r="J491" s="72" t="s">
        <v>507</v>
      </c>
      <c r="K491" s="238"/>
    </row>
    <row r="492" spans="1:11" s="81" customFormat="1" ht="15" x14ac:dyDescent="0.25">
      <c r="A492" s="87"/>
      <c r="B492" s="87" t="s">
        <v>414</v>
      </c>
      <c r="C492" s="52" t="s">
        <v>0</v>
      </c>
      <c r="D492" s="88">
        <v>892.5</v>
      </c>
      <c r="E492" s="87"/>
      <c r="F492" s="87"/>
      <c r="G492" s="87"/>
      <c r="H492" s="87"/>
      <c r="I492" s="87"/>
      <c r="J492" s="228" t="s">
        <v>491</v>
      </c>
      <c r="K492" s="238"/>
    </row>
    <row r="493" spans="1:11" s="63" customFormat="1" x14ac:dyDescent="0.25">
      <c r="A493" s="120" t="s">
        <v>6</v>
      </c>
      <c r="B493" s="130" t="s">
        <v>508</v>
      </c>
      <c r="C493" s="131"/>
      <c r="D493" s="132"/>
      <c r="E493" s="133"/>
      <c r="F493" s="133"/>
      <c r="G493" s="133"/>
      <c r="H493" s="133"/>
      <c r="I493" s="133"/>
      <c r="J493" s="213"/>
      <c r="K493" s="65"/>
    </row>
    <row r="494" spans="1:11" s="27" customFormat="1" x14ac:dyDescent="0.25">
      <c r="A494" s="10" t="s">
        <v>16</v>
      </c>
      <c r="B494" s="21" t="s">
        <v>509</v>
      </c>
      <c r="C494" s="23" t="s">
        <v>89</v>
      </c>
      <c r="D494" s="23" t="s">
        <v>510</v>
      </c>
      <c r="E494" s="26"/>
      <c r="F494" s="26"/>
      <c r="G494" s="26"/>
      <c r="H494" s="26"/>
      <c r="I494" s="26"/>
      <c r="J494" s="214"/>
      <c r="K494" s="56"/>
    </row>
    <row r="495" spans="1:11" s="27" customFormat="1" x14ac:dyDescent="0.25">
      <c r="A495" s="10" t="s">
        <v>17</v>
      </c>
      <c r="B495" s="21" t="s">
        <v>511</v>
      </c>
      <c r="C495" s="23" t="s">
        <v>89</v>
      </c>
      <c r="D495" s="23" t="s">
        <v>512</v>
      </c>
      <c r="E495" s="26"/>
      <c r="F495" s="26"/>
      <c r="G495" s="26"/>
      <c r="H495" s="26"/>
      <c r="I495" s="26"/>
      <c r="J495" s="214"/>
      <c r="K495" s="56"/>
    </row>
    <row r="496" spans="1:11" s="27" customFormat="1" x14ac:dyDescent="0.25">
      <c r="A496" s="10"/>
      <c r="B496" s="22" t="s">
        <v>513</v>
      </c>
      <c r="C496" s="25" t="s">
        <v>514</v>
      </c>
      <c r="D496" s="25" t="s">
        <v>515</v>
      </c>
      <c r="E496" s="19"/>
      <c r="F496" s="19"/>
      <c r="G496" s="19"/>
      <c r="H496" s="19"/>
      <c r="I496" s="19"/>
      <c r="J496" s="215" t="s">
        <v>516</v>
      </c>
      <c r="K496" s="56"/>
    </row>
    <row r="497" spans="1:11" s="27" customFormat="1" ht="36" customHeight="1" x14ac:dyDescent="0.25">
      <c r="A497" s="10" t="s">
        <v>18</v>
      </c>
      <c r="B497" s="21" t="s">
        <v>517</v>
      </c>
      <c r="C497" s="23" t="s">
        <v>89</v>
      </c>
      <c r="D497" s="23" t="s">
        <v>518</v>
      </c>
      <c r="E497" s="771" t="s">
        <v>613</v>
      </c>
      <c r="F497" s="772"/>
      <c r="G497" s="772"/>
      <c r="H497" s="772"/>
      <c r="I497" s="773"/>
      <c r="J497" s="214" t="s">
        <v>222</v>
      </c>
      <c r="K497" s="56"/>
    </row>
    <row r="498" spans="1:11" s="27" customFormat="1" x14ac:dyDescent="0.25">
      <c r="A498" s="10"/>
      <c r="B498" s="22" t="s">
        <v>519</v>
      </c>
      <c r="C498" s="25" t="s">
        <v>514</v>
      </c>
      <c r="D498" s="25" t="s">
        <v>51</v>
      </c>
      <c r="E498" s="774"/>
      <c r="F498" s="775"/>
      <c r="G498" s="775"/>
      <c r="H498" s="775"/>
      <c r="I498" s="776"/>
      <c r="J498" s="214"/>
      <c r="K498" s="56"/>
    </row>
    <row r="499" spans="1:11" s="27" customFormat="1" x14ac:dyDescent="0.25">
      <c r="A499" s="10" t="s">
        <v>19</v>
      </c>
      <c r="B499" s="21" t="s">
        <v>520</v>
      </c>
      <c r="C499" s="23" t="s">
        <v>89</v>
      </c>
      <c r="D499" s="23" t="s">
        <v>518</v>
      </c>
      <c r="E499" s="26"/>
      <c r="F499" s="26"/>
      <c r="G499" s="26"/>
      <c r="H499" s="26"/>
      <c r="I499" s="26"/>
      <c r="J499" s="214"/>
      <c r="K499" s="56"/>
    </row>
    <row r="500" spans="1:11" s="27" customFormat="1" ht="25.5" x14ac:dyDescent="0.25">
      <c r="A500" s="10"/>
      <c r="B500" s="22" t="s">
        <v>521</v>
      </c>
      <c r="C500" s="25" t="s">
        <v>514</v>
      </c>
      <c r="D500" s="25" t="s">
        <v>522</v>
      </c>
      <c r="E500" s="19"/>
      <c r="F500" s="19"/>
      <c r="G500" s="19"/>
      <c r="H500" s="19"/>
      <c r="I500" s="19"/>
      <c r="J500" s="215" t="s">
        <v>523</v>
      </c>
      <c r="K500" s="56"/>
    </row>
    <row r="501" spans="1:11" s="27" customFormat="1" ht="25.5" x14ac:dyDescent="0.25">
      <c r="A501" s="10" t="s">
        <v>20</v>
      </c>
      <c r="B501" s="21" t="s">
        <v>524</v>
      </c>
      <c r="C501" s="23" t="s">
        <v>60</v>
      </c>
      <c r="D501" s="23" t="s">
        <v>525</v>
      </c>
      <c r="E501" s="26"/>
      <c r="F501" s="26"/>
      <c r="G501" s="26"/>
      <c r="H501" s="26"/>
      <c r="I501" s="26"/>
      <c r="J501" s="214"/>
      <c r="K501" s="56"/>
    </row>
    <row r="502" spans="1:11" s="27" customFormat="1" x14ac:dyDescent="0.25">
      <c r="A502" s="10"/>
      <c r="B502" s="22" t="s">
        <v>526</v>
      </c>
      <c r="C502" s="25" t="s">
        <v>60</v>
      </c>
      <c r="D502" s="25">
        <v>1207</v>
      </c>
      <c r="E502" s="19"/>
      <c r="F502" s="19"/>
      <c r="G502" s="19"/>
      <c r="H502" s="19"/>
      <c r="I502" s="19"/>
      <c r="J502" s="215" t="s">
        <v>527</v>
      </c>
      <c r="K502" s="56"/>
    </row>
    <row r="503" spans="1:11" s="27" customFormat="1" x14ac:dyDescent="0.25">
      <c r="A503" s="10" t="s">
        <v>308</v>
      </c>
      <c r="B503" s="21" t="s">
        <v>241</v>
      </c>
      <c r="C503" s="23" t="s">
        <v>89</v>
      </c>
      <c r="D503" s="23" t="s">
        <v>528</v>
      </c>
      <c r="E503" s="26"/>
      <c r="F503" s="26"/>
      <c r="G503" s="26"/>
      <c r="H503" s="26"/>
      <c r="I503" s="26"/>
      <c r="J503" s="214"/>
      <c r="K503" s="56"/>
    </row>
    <row r="504" spans="1:11" s="27" customFormat="1" x14ac:dyDescent="0.25">
      <c r="A504" s="10"/>
      <c r="B504" s="22" t="s">
        <v>529</v>
      </c>
      <c r="C504" s="25" t="s">
        <v>89</v>
      </c>
      <c r="D504" s="25">
        <v>2313.3000000000002</v>
      </c>
      <c r="E504" s="19"/>
      <c r="F504" s="19"/>
      <c r="G504" s="19"/>
      <c r="H504" s="19"/>
      <c r="I504" s="19"/>
      <c r="J504" s="215" t="s">
        <v>530</v>
      </c>
      <c r="K504" s="56"/>
    </row>
    <row r="505" spans="1:11" s="27" customFormat="1" x14ac:dyDescent="0.25">
      <c r="A505" s="10" t="s">
        <v>311</v>
      </c>
      <c r="B505" s="21" t="s">
        <v>531</v>
      </c>
      <c r="C505" s="23" t="s">
        <v>60</v>
      </c>
      <c r="D505" s="23" t="s">
        <v>532</v>
      </c>
      <c r="E505" s="26"/>
      <c r="F505" s="26"/>
      <c r="G505" s="26"/>
      <c r="H505" s="26"/>
      <c r="I505" s="26"/>
      <c r="J505" s="214"/>
      <c r="K505" s="56"/>
    </row>
    <row r="506" spans="1:11" s="112" customFormat="1" x14ac:dyDescent="0.25">
      <c r="A506" s="15"/>
      <c r="B506" s="22" t="s">
        <v>533</v>
      </c>
      <c r="C506" s="25" t="s">
        <v>60</v>
      </c>
      <c r="D506" s="25" t="s">
        <v>532</v>
      </c>
      <c r="E506" s="19"/>
      <c r="F506" s="19"/>
      <c r="G506" s="19"/>
      <c r="H506" s="19"/>
      <c r="I506" s="19"/>
      <c r="J506" s="215"/>
      <c r="K506" s="51"/>
    </row>
    <row r="507" spans="1:11" s="27" customFormat="1" x14ac:dyDescent="0.25">
      <c r="A507" s="10" t="s">
        <v>315</v>
      </c>
      <c r="B507" s="21" t="s">
        <v>259</v>
      </c>
      <c r="C507" s="23" t="s">
        <v>60</v>
      </c>
      <c r="D507" s="23" t="s">
        <v>534</v>
      </c>
      <c r="E507" s="26"/>
      <c r="F507" s="26"/>
      <c r="G507" s="26"/>
      <c r="H507" s="26"/>
      <c r="I507" s="26"/>
      <c r="J507" s="214"/>
      <c r="K507" s="56"/>
    </row>
    <row r="508" spans="1:11" s="112" customFormat="1" x14ac:dyDescent="0.25">
      <c r="A508" s="15"/>
      <c r="B508" s="22" t="s">
        <v>260</v>
      </c>
      <c r="C508" s="25" t="s">
        <v>60</v>
      </c>
      <c r="D508" s="25" t="s">
        <v>535</v>
      </c>
      <c r="E508" s="19"/>
      <c r="F508" s="19"/>
      <c r="G508" s="19"/>
      <c r="H508" s="19"/>
      <c r="I508" s="19"/>
      <c r="J508" s="215" t="s">
        <v>82</v>
      </c>
      <c r="K508" s="51"/>
    </row>
    <row r="509" spans="1:11" s="112" customFormat="1" x14ac:dyDescent="0.25">
      <c r="A509" s="15"/>
      <c r="B509" s="22" t="s">
        <v>263</v>
      </c>
      <c r="C509" s="25" t="s">
        <v>92</v>
      </c>
      <c r="D509" s="25" t="s">
        <v>536</v>
      </c>
      <c r="E509" s="19"/>
      <c r="F509" s="19"/>
      <c r="G509" s="19"/>
      <c r="H509" s="19"/>
      <c r="I509" s="19"/>
      <c r="J509" s="215"/>
      <c r="K509" s="51"/>
    </row>
    <row r="510" spans="1:11" s="27" customFormat="1" x14ac:dyDescent="0.25">
      <c r="A510" s="10" t="s">
        <v>319</v>
      </c>
      <c r="B510" s="21" t="s">
        <v>537</v>
      </c>
      <c r="C510" s="23" t="s">
        <v>60</v>
      </c>
      <c r="D510" s="23" t="s">
        <v>534</v>
      </c>
      <c r="E510" s="26"/>
      <c r="F510" s="26"/>
      <c r="G510" s="26"/>
      <c r="H510" s="26"/>
      <c r="I510" s="26"/>
      <c r="J510" s="214" t="s">
        <v>538</v>
      </c>
      <c r="K510" s="56"/>
    </row>
    <row r="511" spans="1:11" s="27" customFormat="1" x14ac:dyDescent="0.25">
      <c r="A511" s="10"/>
      <c r="B511" s="22" t="s">
        <v>267</v>
      </c>
      <c r="C511" s="25" t="s">
        <v>60</v>
      </c>
      <c r="D511" s="25">
        <v>90</v>
      </c>
      <c r="E511" s="26"/>
      <c r="F511" s="26"/>
      <c r="G511" s="26"/>
      <c r="H511" s="26"/>
      <c r="I511" s="26"/>
      <c r="J511" s="214"/>
      <c r="K511" s="56"/>
    </row>
    <row r="512" spans="1:11" s="27" customFormat="1" ht="27.75" customHeight="1" x14ac:dyDescent="0.25">
      <c r="A512" s="10" t="s">
        <v>322</v>
      </c>
      <c r="B512" s="21" t="s">
        <v>539</v>
      </c>
      <c r="C512" s="23" t="s">
        <v>60</v>
      </c>
      <c r="D512" s="23">
        <v>82</v>
      </c>
      <c r="E512" s="789" t="s">
        <v>613</v>
      </c>
      <c r="F512" s="790"/>
      <c r="G512" s="790"/>
      <c r="H512" s="790"/>
      <c r="I512" s="791"/>
      <c r="J512" s="214" t="s">
        <v>538</v>
      </c>
      <c r="K512" s="56"/>
    </row>
    <row r="513" spans="1:11" s="27" customFormat="1" x14ac:dyDescent="0.25">
      <c r="A513" s="10"/>
      <c r="B513" s="22" t="s">
        <v>540</v>
      </c>
      <c r="C513" s="25" t="s">
        <v>60</v>
      </c>
      <c r="D513" s="25" t="s">
        <v>541</v>
      </c>
      <c r="E513" s="26"/>
      <c r="F513" s="26"/>
      <c r="G513" s="26"/>
      <c r="H513" s="26"/>
      <c r="I513" s="26"/>
      <c r="J513" s="214" t="s">
        <v>542</v>
      </c>
      <c r="K513" s="56"/>
    </row>
    <row r="514" spans="1:11" s="27" customFormat="1" x14ac:dyDescent="0.25">
      <c r="A514" s="10" t="s">
        <v>325</v>
      </c>
      <c r="B514" s="21" t="s">
        <v>543</v>
      </c>
      <c r="C514" s="23" t="s">
        <v>60</v>
      </c>
      <c r="D514" s="23" t="s">
        <v>544</v>
      </c>
      <c r="E514" s="771" t="s">
        <v>636</v>
      </c>
      <c r="F514" s="772"/>
      <c r="G514" s="772"/>
      <c r="H514" s="772"/>
      <c r="I514" s="773"/>
      <c r="J514" s="214"/>
      <c r="K514" s="56"/>
    </row>
    <row r="515" spans="1:11" s="112" customFormat="1" x14ac:dyDescent="0.25">
      <c r="A515" s="15"/>
      <c r="B515" s="22" t="s">
        <v>545</v>
      </c>
      <c r="C515" s="25" t="s">
        <v>60</v>
      </c>
      <c r="D515" s="25">
        <v>337</v>
      </c>
      <c r="E515" s="774"/>
      <c r="F515" s="775"/>
      <c r="G515" s="775"/>
      <c r="H515" s="775"/>
      <c r="I515" s="776"/>
      <c r="J515" s="215" t="s">
        <v>542</v>
      </c>
      <c r="K515" s="51"/>
    </row>
    <row r="516" spans="1:11" s="180" customFormat="1" ht="25.5" x14ac:dyDescent="0.25">
      <c r="A516" s="245" t="s">
        <v>328</v>
      </c>
      <c r="B516" s="246" t="s">
        <v>546</v>
      </c>
      <c r="C516" s="247" t="s">
        <v>92</v>
      </c>
      <c r="D516" s="247">
        <v>80</v>
      </c>
      <c r="E516" s="248"/>
      <c r="F516" s="248"/>
      <c r="G516" s="248"/>
      <c r="H516" s="248"/>
      <c r="I516" s="248"/>
      <c r="J516" s="221"/>
      <c r="K516" s="179"/>
    </row>
    <row r="517" spans="1:11" s="252" customFormat="1" x14ac:dyDescent="0.25">
      <c r="A517" s="249"/>
      <c r="B517" s="250" t="s">
        <v>547</v>
      </c>
      <c r="C517" s="178" t="s">
        <v>92</v>
      </c>
      <c r="D517" s="178" t="s">
        <v>541</v>
      </c>
      <c r="E517" s="251"/>
      <c r="F517" s="251"/>
      <c r="G517" s="251"/>
      <c r="H517" s="251"/>
      <c r="I517" s="251"/>
      <c r="J517" s="222" t="s">
        <v>548</v>
      </c>
      <c r="K517" s="193"/>
    </row>
    <row r="518" spans="1:11" s="252" customFormat="1" x14ac:dyDescent="0.25">
      <c r="A518" s="249"/>
      <c r="B518" s="250" t="s">
        <v>549</v>
      </c>
      <c r="C518" s="178" t="s">
        <v>60</v>
      </c>
      <c r="D518" s="178">
        <v>80</v>
      </c>
      <c r="E518" s="251"/>
      <c r="F518" s="251"/>
      <c r="G518" s="251"/>
      <c r="H518" s="251"/>
      <c r="I518" s="251"/>
      <c r="J518" s="222" t="s">
        <v>550</v>
      </c>
      <c r="K518" s="193"/>
    </row>
    <row r="519" spans="1:11" s="180" customFormat="1" ht="25.5" x14ac:dyDescent="0.25">
      <c r="A519" s="245" t="s">
        <v>363</v>
      </c>
      <c r="B519" s="246" t="s">
        <v>551</v>
      </c>
      <c r="C519" s="247" t="s">
        <v>45</v>
      </c>
      <c r="D519" s="247">
        <v>160</v>
      </c>
      <c r="E519" s="248"/>
      <c r="F519" s="248"/>
      <c r="G519" s="248"/>
      <c r="H519" s="248"/>
      <c r="I519" s="248"/>
      <c r="J519" s="221"/>
      <c r="K519" s="179"/>
    </row>
    <row r="520" spans="1:11" s="180" customFormat="1" x14ac:dyDescent="0.25">
      <c r="A520" s="245"/>
      <c r="B520" s="250" t="s">
        <v>552</v>
      </c>
      <c r="C520" s="178" t="s">
        <v>45</v>
      </c>
      <c r="D520" s="178" t="s">
        <v>553</v>
      </c>
      <c r="E520" s="248"/>
      <c r="F520" s="248"/>
      <c r="G520" s="248"/>
      <c r="H520" s="248"/>
      <c r="I520" s="248"/>
      <c r="J520" s="221"/>
      <c r="K520" s="179"/>
    </row>
    <row r="521" spans="1:11" s="180" customFormat="1" ht="25.5" x14ac:dyDescent="0.25">
      <c r="A521" s="245" t="s">
        <v>367</v>
      </c>
      <c r="B521" s="246" t="s">
        <v>554</v>
      </c>
      <c r="C521" s="247" t="s">
        <v>45</v>
      </c>
      <c r="D521" s="247">
        <v>400</v>
      </c>
      <c r="E521" s="248"/>
      <c r="F521" s="248"/>
      <c r="G521" s="248"/>
      <c r="H521" s="248"/>
      <c r="I521" s="248"/>
      <c r="J521" s="221"/>
      <c r="K521" s="179"/>
    </row>
    <row r="522" spans="1:11" s="252" customFormat="1" x14ac:dyDescent="0.25">
      <c r="A522" s="249"/>
      <c r="B522" s="250" t="s">
        <v>555</v>
      </c>
      <c r="C522" s="178" t="s">
        <v>45</v>
      </c>
      <c r="D522" s="178" t="s">
        <v>556</v>
      </c>
      <c r="E522" s="251"/>
      <c r="F522" s="251"/>
      <c r="G522" s="251"/>
      <c r="H522" s="251"/>
      <c r="I522" s="251"/>
      <c r="J522" s="222" t="s">
        <v>557</v>
      </c>
      <c r="K522" s="193"/>
    </row>
    <row r="523" spans="1:11" s="27" customFormat="1" x14ac:dyDescent="0.25">
      <c r="A523" s="10" t="s">
        <v>370</v>
      </c>
      <c r="B523" s="21" t="s">
        <v>558</v>
      </c>
      <c r="C523" s="23" t="s">
        <v>54</v>
      </c>
      <c r="D523" s="23" t="s">
        <v>7</v>
      </c>
      <c r="E523" s="26"/>
      <c r="F523" s="26"/>
      <c r="G523" s="26"/>
      <c r="H523" s="26"/>
      <c r="I523" s="26"/>
      <c r="J523" s="214" t="s">
        <v>559</v>
      </c>
      <c r="K523" s="56"/>
    </row>
    <row r="524" spans="1:11" s="27" customFormat="1" x14ac:dyDescent="0.25">
      <c r="A524" s="143" t="s">
        <v>98</v>
      </c>
      <c r="B524" s="144" t="s">
        <v>579</v>
      </c>
      <c r="C524" s="145"/>
      <c r="D524" s="139"/>
      <c r="E524" s="146"/>
      <c r="F524" s="146"/>
      <c r="G524" s="146"/>
      <c r="H524" s="146"/>
      <c r="I524" s="146"/>
      <c r="J524" s="235"/>
      <c r="K524" s="56"/>
    </row>
    <row r="525" spans="1:11" s="1" customFormat="1" x14ac:dyDescent="0.25">
      <c r="A525" s="142" t="s">
        <v>99</v>
      </c>
      <c r="B525" s="3" t="s">
        <v>580</v>
      </c>
      <c r="C525" s="4" t="s">
        <v>33</v>
      </c>
      <c r="D525" s="5">
        <v>934.58</v>
      </c>
      <c r="E525" s="789" t="s">
        <v>616</v>
      </c>
      <c r="F525" s="790"/>
      <c r="G525" s="790"/>
      <c r="H525" s="790"/>
      <c r="I525" s="791"/>
      <c r="J525" s="236"/>
      <c r="K525" s="239"/>
    </row>
    <row r="526" spans="1:11" s="1" customFormat="1" ht="25.5" x14ac:dyDescent="0.25">
      <c r="A526" s="142" t="s">
        <v>100</v>
      </c>
      <c r="B526" s="3" t="s">
        <v>581</v>
      </c>
      <c r="C526" s="4" t="s">
        <v>33</v>
      </c>
      <c r="D526" s="5">
        <v>11.42</v>
      </c>
      <c r="E526" s="857" t="s">
        <v>617</v>
      </c>
      <c r="F526" s="858"/>
      <c r="G526" s="858"/>
      <c r="H526" s="858"/>
      <c r="I526" s="859"/>
      <c r="J526" s="236" t="s">
        <v>652</v>
      </c>
      <c r="K526" s="240"/>
    </row>
    <row r="527" spans="1:11" s="1" customFormat="1" ht="25.5" x14ac:dyDescent="0.25">
      <c r="A527" s="286" t="s">
        <v>101</v>
      </c>
      <c r="B527" s="287" t="s">
        <v>653</v>
      </c>
      <c r="C527" s="288" t="s">
        <v>33</v>
      </c>
      <c r="D527" s="290">
        <v>118.16</v>
      </c>
      <c r="E527" s="283"/>
      <c r="F527" s="284"/>
      <c r="G527" s="284"/>
      <c r="H527" s="284"/>
      <c r="I527" s="285"/>
      <c r="J527" s="236" t="s">
        <v>652</v>
      </c>
      <c r="K527" s="240"/>
    </row>
    <row r="528" spans="1:11" s="1" customFormat="1" x14ac:dyDescent="0.25">
      <c r="A528" s="286" t="s">
        <v>654</v>
      </c>
      <c r="B528" s="287" t="s">
        <v>655</v>
      </c>
      <c r="C528" s="288" t="s">
        <v>0</v>
      </c>
      <c r="D528" s="290">
        <v>35.6</v>
      </c>
      <c r="E528" s="283"/>
      <c r="F528" s="284"/>
      <c r="G528" s="284"/>
      <c r="H528" s="284"/>
      <c r="I528" s="285"/>
      <c r="J528" s="236"/>
      <c r="K528" s="240"/>
    </row>
    <row r="529" spans="1:11" s="34" customFormat="1" ht="25.5" x14ac:dyDescent="0.25">
      <c r="A529" s="120" t="s">
        <v>46</v>
      </c>
      <c r="B529" s="119" t="s">
        <v>26</v>
      </c>
      <c r="C529" s="121" t="s">
        <v>0</v>
      </c>
      <c r="D529" s="289">
        <v>2586</v>
      </c>
      <c r="E529" s="138"/>
      <c r="F529" s="138"/>
      <c r="G529" s="138"/>
      <c r="H529" s="138"/>
      <c r="I529" s="138"/>
      <c r="J529" s="237" t="s">
        <v>578</v>
      </c>
      <c r="K529" s="28"/>
    </row>
    <row r="530" spans="1:11" s="113" customFormat="1" ht="13.5" x14ac:dyDescent="0.25">
      <c r="A530" s="15"/>
      <c r="B530" s="16" t="s">
        <v>116</v>
      </c>
      <c r="C530" s="17"/>
      <c r="D530" s="18">
        <f>D529*1.1</f>
        <v>2844.6</v>
      </c>
      <c r="E530" s="19"/>
      <c r="F530" s="19"/>
      <c r="G530" s="19"/>
      <c r="H530" s="19"/>
      <c r="I530" s="19"/>
      <c r="J530" s="215" t="s">
        <v>115</v>
      </c>
      <c r="K530" s="241"/>
    </row>
    <row r="531" spans="1:11" x14ac:dyDescent="0.25">
      <c r="A531" s="59"/>
      <c r="B531" s="14"/>
      <c r="C531" s="57"/>
      <c r="D531" s="258"/>
    </row>
    <row r="532" spans="1:11" x14ac:dyDescent="0.25">
      <c r="A532" s="59"/>
      <c r="B532" s="259" t="s">
        <v>623</v>
      </c>
      <c r="C532" s="57" t="s">
        <v>656</v>
      </c>
      <c r="D532" s="258"/>
    </row>
    <row r="533" spans="1:11" x14ac:dyDescent="0.25">
      <c r="A533" s="59"/>
      <c r="B533" s="14"/>
      <c r="C533" s="57"/>
      <c r="D533" s="258"/>
    </row>
    <row r="534" spans="1:11" x14ac:dyDescent="0.25">
      <c r="A534" s="59"/>
      <c r="B534" s="14"/>
      <c r="C534" s="57"/>
      <c r="D534" s="258"/>
    </row>
    <row r="535" spans="1:11" x14ac:dyDescent="0.25">
      <c r="A535" s="59"/>
      <c r="B535" s="14"/>
      <c r="C535" s="57"/>
      <c r="D535" s="258"/>
    </row>
  </sheetData>
  <mergeCells count="81">
    <mergeCell ref="E525:I525"/>
    <mergeCell ref="E526:I526"/>
    <mergeCell ref="E202:I232"/>
    <mergeCell ref="E280:I280"/>
    <mergeCell ref="E437:I437"/>
    <mergeCell ref="E438:I438"/>
    <mergeCell ref="E439:I439"/>
    <mergeCell ref="E295:I295"/>
    <mergeCell ref="E270:I270"/>
    <mergeCell ref="E243:I243"/>
    <mergeCell ref="E313:I313"/>
    <mergeCell ref="E319:I319"/>
    <mergeCell ref="E301:I301"/>
    <mergeCell ref="E278:I278"/>
    <mergeCell ref="E249:I249"/>
    <mergeCell ref="E248:I248"/>
    <mergeCell ref="N41:N45"/>
    <mergeCell ref="J76:J89"/>
    <mergeCell ref="E76:I77"/>
    <mergeCell ref="E113:I113"/>
    <mergeCell ref="E120:I120"/>
    <mergeCell ref="E40:I45"/>
    <mergeCell ref="E46:I46"/>
    <mergeCell ref="E47:I47"/>
    <mergeCell ref="E48:I48"/>
    <mergeCell ref="E54:I57"/>
    <mergeCell ref="E58:I58"/>
    <mergeCell ref="E59:I59"/>
    <mergeCell ref="E60:I65"/>
    <mergeCell ref="E68:I68"/>
    <mergeCell ref="E74:I74"/>
    <mergeCell ref="K38:K49"/>
    <mergeCell ref="B269:D269"/>
    <mergeCell ref="A1:J1"/>
    <mergeCell ref="A2:J2"/>
    <mergeCell ref="A4:J4"/>
    <mergeCell ref="E268:I268"/>
    <mergeCell ref="E250:I250"/>
    <mergeCell ref="E251:I251"/>
    <mergeCell ref="E252:I252"/>
    <mergeCell ref="E253:I253"/>
    <mergeCell ref="E33:I33"/>
    <mergeCell ref="J30:J31"/>
    <mergeCell ref="E26:I26"/>
    <mergeCell ref="E27:I27"/>
    <mergeCell ref="E28:I28"/>
    <mergeCell ref="E29:I29"/>
    <mergeCell ref="E30:I30"/>
    <mergeCell ref="K84:K89"/>
    <mergeCell ref="K164:K166"/>
    <mergeCell ref="K167:K170"/>
    <mergeCell ref="K50:K53"/>
    <mergeCell ref="K26:K33"/>
    <mergeCell ref="K34:K37"/>
    <mergeCell ref="K54:K59"/>
    <mergeCell ref="K60:K65"/>
    <mergeCell ref="K66:K73"/>
    <mergeCell ref="K75:K83"/>
    <mergeCell ref="K456:K469"/>
    <mergeCell ref="K379:K388"/>
    <mergeCell ref="M41:M45"/>
    <mergeCell ref="E122:I122"/>
    <mergeCell ref="E124:I124"/>
    <mergeCell ref="E179:I201"/>
    <mergeCell ref="K171:K173"/>
    <mergeCell ref="E279:I279"/>
    <mergeCell ref="E277:I277"/>
    <mergeCell ref="E276:I276"/>
    <mergeCell ref="K366:K377"/>
    <mergeCell ref="K254:K267"/>
    <mergeCell ref="K281:K293"/>
    <mergeCell ref="K333:K335"/>
    <mergeCell ref="K302:K309"/>
    <mergeCell ref="E308:I308"/>
    <mergeCell ref="E514:I515"/>
    <mergeCell ref="E435:I435"/>
    <mergeCell ref="E378:J378"/>
    <mergeCell ref="E450:I455"/>
    <mergeCell ref="E472:I477"/>
    <mergeCell ref="E497:I498"/>
    <mergeCell ref="E512:I512"/>
  </mergeCells>
  <pageMargins left="0.39370078740157483" right="0.19685039370078741" top="0.39370078740157483" bottom="0.19685039370078741" header="0.51181102362204722" footer="0.15748031496062992"/>
  <pageSetup paperSize="8" scale="73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049F-2AF8-41A9-9965-880151A008EC}">
  <sheetPr>
    <outlinePr summaryBelow="0"/>
    <pageSetUpPr fitToPage="1"/>
  </sheetPr>
  <dimension ref="A1:AP490"/>
  <sheetViews>
    <sheetView zoomScaleNormal="100" workbookViewId="0">
      <selection activeCell="B21" sqref="B21"/>
    </sheetView>
  </sheetViews>
  <sheetFormatPr defaultRowHeight="12.75" outlineLevelRow="4" x14ac:dyDescent="0.25"/>
  <cols>
    <col min="1" max="1" width="5.7109375" style="42" customWidth="1"/>
    <col min="2" max="2" width="93.42578125" style="33" customWidth="1"/>
    <col min="3" max="3" width="10.42578125" style="242" customWidth="1"/>
    <col min="4" max="4" width="14.140625" style="44" bestFit="1" customWidth="1"/>
    <col min="5" max="6" width="13.7109375" style="45" customWidth="1"/>
    <col min="7" max="9" width="14.7109375" style="45" customWidth="1"/>
    <col min="10" max="10" width="40" style="27" customWidth="1"/>
    <col min="11" max="11" width="25.42578125" style="33" customWidth="1"/>
    <col min="12" max="12" width="10" style="257" bestFit="1" customWidth="1"/>
    <col min="13" max="42" width="9.140625" style="257"/>
    <col min="43" max="16384" width="9.140625" style="33"/>
  </cols>
  <sheetData>
    <row r="1" spans="1:42" ht="20.25" x14ac:dyDescent="0.25">
      <c r="A1" s="759" t="s">
        <v>119</v>
      </c>
      <c r="B1" s="759"/>
      <c r="C1" s="759"/>
      <c r="D1" s="759"/>
      <c r="E1" s="759"/>
      <c r="F1" s="759"/>
      <c r="G1" s="759"/>
      <c r="H1" s="759"/>
      <c r="I1" s="759"/>
      <c r="J1" s="759"/>
    </row>
    <row r="2" spans="1:42" ht="15.75" x14ac:dyDescent="0.25">
      <c r="A2" s="761" t="s">
        <v>574</v>
      </c>
      <c r="B2" s="761"/>
      <c r="C2" s="761"/>
      <c r="D2" s="761"/>
      <c r="E2" s="761"/>
      <c r="F2" s="761"/>
      <c r="G2" s="761"/>
      <c r="H2" s="761"/>
      <c r="I2" s="761"/>
      <c r="J2" s="761"/>
    </row>
    <row r="3" spans="1:42" x14ac:dyDescent="0.25">
      <c r="A3" s="34"/>
      <c r="B3" s="34"/>
      <c r="C3" s="34"/>
      <c r="D3" s="35"/>
      <c r="E3" s="36"/>
      <c r="F3" s="36"/>
      <c r="G3" s="36"/>
      <c r="H3" s="36"/>
      <c r="I3" s="36"/>
      <c r="J3" s="34"/>
    </row>
    <row r="4" spans="1:42" ht="15.75" x14ac:dyDescent="0.25">
      <c r="A4" s="761" t="s">
        <v>120</v>
      </c>
      <c r="B4" s="761"/>
      <c r="C4" s="761"/>
      <c r="D4" s="761"/>
      <c r="E4" s="761"/>
      <c r="F4" s="761"/>
      <c r="G4" s="761"/>
      <c r="H4" s="761"/>
      <c r="I4" s="761"/>
      <c r="J4" s="761"/>
    </row>
    <row r="5" spans="1:42" x14ac:dyDescent="0.25">
      <c r="A5" s="34"/>
      <c r="B5" s="34"/>
      <c r="C5" s="34"/>
      <c r="D5" s="35"/>
      <c r="E5" s="36"/>
      <c r="F5" s="36"/>
      <c r="G5" s="36"/>
      <c r="H5" s="36"/>
      <c r="I5" s="36"/>
      <c r="J5" s="34"/>
    </row>
    <row r="6" spans="1:42" s="27" customFormat="1" x14ac:dyDescent="0.25">
      <c r="A6" s="37"/>
      <c r="B6" s="38" t="s">
        <v>560</v>
      </c>
      <c r="C6" s="37"/>
      <c r="D6" s="37"/>
      <c r="E6" s="37"/>
      <c r="F6" s="37"/>
      <c r="G6" s="37"/>
      <c r="H6" s="37"/>
      <c r="I6" s="37"/>
      <c r="J6" s="37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</row>
    <row r="7" spans="1:42" s="27" customFormat="1" x14ac:dyDescent="0.25">
      <c r="A7" s="39"/>
      <c r="B7" s="40" t="s">
        <v>561</v>
      </c>
      <c r="C7" s="40"/>
      <c r="D7" s="40"/>
      <c r="E7" s="40"/>
      <c r="F7" s="41"/>
      <c r="G7" s="41"/>
      <c r="H7" s="39"/>
      <c r="I7" s="39"/>
      <c r="J7" s="3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</row>
    <row r="8" spans="1:42" s="27" customFormat="1" x14ac:dyDescent="0.25">
      <c r="A8" s="39"/>
      <c r="B8" s="40" t="s">
        <v>562</v>
      </c>
      <c r="C8" s="40"/>
      <c r="D8" s="40"/>
      <c r="E8" s="40"/>
      <c r="F8" s="41"/>
      <c r="G8" s="41"/>
      <c r="H8" s="39"/>
      <c r="I8" s="39"/>
      <c r="J8" s="3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</row>
    <row r="9" spans="1:42" s="27" customFormat="1" x14ac:dyDescent="0.25">
      <c r="A9" s="39"/>
      <c r="B9" s="40" t="s">
        <v>563</v>
      </c>
      <c r="C9" s="40"/>
      <c r="D9" s="40"/>
      <c r="E9" s="40"/>
      <c r="F9" s="41"/>
      <c r="G9" s="41"/>
      <c r="H9" s="39"/>
      <c r="I9" s="39"/>
      <c r="J9" s="39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</row>
    <row r="10" spans="1:42" s="27" customFormat="1" x14ac:dyDescent="0.25">
      <c r="A10" s="39"/>
      <c r="B10" s="40" t="s">
        <v>564</v>
      </c>
      <c r="C10" s="40"/>
      <c r="D10" s="40"/>
      <c r="E10" s="40"/>
      <c r="F10" s="40"/>
      <c r="G10" s="41"/>
      <c r="H10" s="39"/>
      <c r="I10" s="39"/>
      <c r="J10" s="3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</row>
    <row r="11" spans="1:42" s="27" customFormat="1" x14ac:dyDescent="0.25">
      <c r="A11" s="39"/>
      <c r="B11" s="40" t="s">
        <v>565</v>
      </c>
      <c r="C11" s="40"/>
      <c r="D11" s="40"/>
      <c r="E11" s="40"/>
      <c r="F11" s="40"/>
      <c r="G11" s="41"/>
      <c r="H11" s="39"/>
      <c r="I11" s="39"/>
      <c r="J11" s="3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</row>
    <row r="12" spans="1:42" s="27" customFormat="1" x14ac:dyDescent="0.25">
      <c r="A12" s="39"/>
      <c r="B12" s="40" t="s">
        <v>566</v>
      </c>
      <c r="C12" s="40"/>
      <c r="D12" s="40"/>
      <c r="E12" s="40"/>
      <c r="F12" s="41"/>
      <c r="G12" s="41"/>
      <c r="H12" s="39"/>
      <c r="I12" s="39"/>
      <c r="J12" s="3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</row>
    <row r="13" spans="1:42" s="27" customFormat="1" x14ac:dyDescent="0.25">
      <c r="A13" s="39"/>
      <c r="B13" s="40" t="s">
        <v>567</v>
      </c>
      <c r="C13" s="40"/>
      <c r="D13" s="40"/>
      <c r="E13" s="40"/>
      <c r="F13" s="40"/>
      <c r="G13" s="41"/>
      <c r="H13" s="39"/>
      <c r="I13" s="39"/>
      <c r="J13" s="39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</row>
    <row r="14" spans="1:42" s="27" customFormat="1" x14ac:dyDescent="0.25">
      <c r="A14" s="39"/>
      <c r="B14" s="40" t="s">
        <v>568</v>
      </c>
      <c r="C14" s="40"/>
      <c r="D14" s="40"/>
      <c r="E14" s="40"/>
      <c r="F14" s="40"/>
      <c r="G14" s="41"/>
      <c r="H14" s="39"/>
      <c r="I14" s="39"/>
      <c r="J14" s="3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</row>
    <row r="15" spans="1:42" s="27" customFormat="1" x14ac:dyDescent="0.25">
      <c r="A15" s="39"/>
      <c r="B15" s="40" t="s">
        <v>569</v>
      </c>
      <c r="C15" s="40"/>
      <c r="D15" s="40"/>
      <c r="E15" s="40"/>
      <c r="F15" s="40"/>
      <c r="G15" s="41"/>
      <c r="H15" s="39"/>
      <c r="I15" s="39"/>
      <c r="J15" s="39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</row>
    <row r="16" spans="1:42" s="27" customFormat="1" x14ac:dyDescent="0.25">
      <c r="A16" s="39"/>
      <c r="B16" s="40" t="s">
        <v>570</v>
      </c>
      <c r="C16" s="40"/>
      <c r="D16" s="40"/>
      <c r="E16" s="40"/>
      <c r="F16" s="40"/>
      <c r="G16" s="40"/>
      <c r="H16" s="39"/>
      <c r="I16" s="39"/>
      <c r="J16" s="39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</row>
    <row r="17" spans="1:42" s="27" customFormat="1" x14ac:dyDescent="0.25">
      <c r="A17" s="39"/>
      <c r="B17" s="40" t="s">
        <v>571</v>
      </c>
      <c r="C17" s="40"/>
      <c r="D17" s="40"/>
      <c r="E17" s="40"/>
      <c r="F17" s="40"/>
      <c r="G17" s="41"/>
      <c r="H17" s="39"/>
      <c r="I17" s="39"/>
      <c r="J17" s="39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</row>
    <row r="18" spans="1:42" x14ac:dyDescent="0.25">
      <c r="B18" s="33" t="s">
        <v>572</v>
      </c>
    </row>
    <row r="20" spans="1:42" s="49" customFormat="1" ht="51" x14ac:dyDescent="0.25">
      <c r="A20" s="46" t="s">
        <v>1</v>
      </c>
      <c r="B20" s="28" t="s">
        <v>2</v>
      </c>
      <c r="C20" s="28" t="s">
        <v>3</v>
      </c>
      <c r="D20" s="47" t="s">
        <v>4</v>
      </c>
      <c r="E20" s="48" t="s">
        <v>11</v>
      </c>
      <c r="F20" s="48" t="s">
        <v>12</v>
      </c>
      <c r="G20" s="48" t="s">
        <v>8</v>
      </c>
      <c r="H20" s="48" t="s">
        <v>9</v>
      </c>
      <c r="I20" s="48" t="s">
        <v>10</v>
      </c>
      <c r="J20" s="202" t="s">
        <v>5</v>
      </c>
      <c r="K20" s="67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</row>
    <row r="21" spans="1:42" s="49" customFormat="1" x14ac:dyDescent="0.25">
      <c r="A21" s="114"/>
      <c r="B21" s="115" t="s">
        <v>754</v>
      </c>
      <c r="C21" s="116"/>
      <c r="D21" s="117"/>
      <c r="E21" s="118"/>
      <c r="F21" s="118"/>
      <c r="G21" s="118"/>
      <c r="H21" s="118"/>
      <c r="I21" s="118"/>
      <c r="J21" s="203"/>
      <c r="K21" s="67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</row>
    <row r="22" spans="1:42" s="34" customFormat="1" ht="25.5" x14ac:dyDescent="0.25">
      <c r="A22" s="379" t="s">
        <v>7</v>
      </c>
      <c r="B22" s="376" t="s">
        <v>674</v>
      </c>
      <c r="C22" s="395" t="s">
        <v>0</v>
      </c>
      <c r="D22" s="427">
        <v>6330</v>
      </c>
      <c r="E22" s="385"/>
      <c r="F22" s="385"/>
      <c r="G22" s="385"/>
      <c r="H22" s="385"/>
      <c r="I22" s="385"/>
      <c r="J22" s="387"/>
      <c r="K22" s="28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</row>
    <row r="23" spans="1:42" s="34" customFormat="1" ht="38.25" x14ac:dyDescent="0.25">
      <c r="A23" s="379" t="s">
        <v>6</v>
      </c>
      <c r="B23" s="376" t="s">
        <v>739</v>
      </c>
      <c r="C23" s="395" t="s">
        <v>573</v>
      </c>
      <c r="D23" s="427">
        <v>1</v>
      </c>
      <c r="E23" s="385"/>
      <c r="F23" s="385"/>
      <c r="G23" s="385"/>
      <c r="H23" s="385"/>
      <c r="I23" s="385"/>
      <c r="J23" s="387" t="s">
        <v>620</v>
      </c>
      <c r="K23" s="28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</row>
    <row r="24" spans="1:42" s="182" customFormat="1" ht="25.5" outlineLevel="2" x14ac:dyDescent="0.25">
      <c r="A24" s="245" t="s">
        <v>16</v>
      </c>
      <c r="B24" s="339" t="s">
        <v>740</v>
      </c>
      <c r="C24" s="2" t="s">
        <v>126</v>
      </c>
      <c r="D24" s="2" t="s">
        <v>127</v>
      </c>
      <c r="E24" s="345"/>
      <c r="F24" s="345"/>
      <c r="G24" s="345"/>
      <c r="H24" s="345"/>
      <c r="I24" s="345"/>
      <c r="J24" s="346"/>
      <c r="K24" s="175"/>
    </row>
    <row r="25" spans="1:42" s="197" customFormat="1" outlineLevel="3" x14ac:dyDescent="0.25">
      <c r="A25" s="249"/>
      <c r="B25" s="193" t="s">
        <v>128</v>
      </c>
      <c r="C25" s="177" t="s">
        <v>45</v>
      </c>
      <c r="D25" s="363" t="s">
        <v>7</v>
      </c>
      <c r="E25" s="429"/>
      <c r="F25" s="429"/>
      <c r="G25" s="429"/>
      <c r="H25" s="429"/>
      <c r="I25" s="429"/>
      <c r="J25" s="299" t="s">
        <v>620</v>
      </c>
      <c r="K25" s="762" t="s">
        <v>624</v>
      </c>
    </row>
    <row r="26" spans="1:42" s="197" customFormat="1" ht="25.5" outlineLevel="2" x14ac:dyDescent="0.25">
      <c r="A26" s="245" t="s">
        <v>17</v>
      </c>
      <c r="B26" s="339" t="s">
        <v>129</v>
      </c>
      <c r="C26" s="2" t="s">
        <v>45</v>
      </c>
      <c r="D26" s="2">
        <f>SUM(D27:D30)</f>
        <v>186</v>
      </c>
      <c r="E26" s="429"/>
      <c r="F26" s="429"/>
      <c r="G26" s="429"/>
      <c r="H26" s="429"/>
      <c r="I26" s="429"/>
      <c r="J26" s="299" t="s">
        <v>620</v>
      </c>
      <c r="K26" s="763"/>
    </row>
    <row r="27" spans="1:42" s="180" customFormat="1" ht="25.5" outlineLevel="3" x14ac:dyDescent="0.25">
      <c r="A27" s="245"/>
      <c r="B27" s="339" t="s">
        <v>129</v>
      </c>
      <c r="C27" s="2" t="s">
        <v>45</v>
      </c>
      <c r="D27" s="2">
        <v>18</v>
      </c>
      <c r="E27" s="429"/>
      <c r="F27" s="429"/>
      <c r="G27" s="429"/>
      <c r="H27" s="429"/>
      <c r="I27" s="429"/>
      <c r="J27" s="299" t="s">
        <v>620</v>
      </c>
      <c r="K27" s="763"/>
    </row>
    <row r="28" spans="1:42" s="180" customFormat="1" ht="25.5" outlineLevel="3" x14ac:dyDescent="0.25">
      <c r="A28" s="245"/>
      <c r="B28" s="339" t="s">
        <v>130</v>
      </c>
      <c r="C28" s="2" t="s">
        <v>45</v>
      </c>
      <c r="D28" s="2">
        <v>55</v>
      </c>
      <c r="E28" s="429"/>
      <c r="F28" s="429"/>
      <c r="G28" s="429"/>
      <c r="H28" s="429"/>
      <c r="I28" s="429"/>
      <c r="J28" s="299" t="s">
        <v>620</v>
      </c>
      <c r="K28" s="763"/>
    </row>
    <row r="29" spans="1:42" s="180" customFormat="1" ht="25.5" outlineLevel="3" x14ac:dyDescent="0.25">
      <c r="A29" s="245"/>
      <c r="B29" s="339" t="s">
        <v>131</v>
      </c>
      <c r="C29" s="2" t="s">
        <v>45</v>
      </c>
      <c r="D29" s="2">
        <v>75</v>
      </c>
      <c r="E29" s="429"/>
      <c r="F29" s="429"/>
      <c r="G29" s="429"/>
      <c r="H29" s="429"/>
      <c r="I29" s="429"/>
      <c r="J29" s="299" t="s">
        <v>620</v>
      </c>
      <c r="K29" s="763"/>
    </row>
    <row r="30" spans="1:42" s="180" customFormat="1" ht="25.5" customHeight="1" outlineLevel="3" x14ac:dyDescent="0.25">
      <c r="A30" s="245"/>
      <c r="B30" s="339" t="s">
        <v>132</v>
      </c>
      <c r="C30" s="2" t="s">
        <v>45</v>
      </c>
      <c r="D30" s="2">
        <v>38</v>
      </c>
      <c r="E30" s="429"/>
      <c r="F30" s="429"/>
      <c r="G30" s="429"/>
      <c r="H30" s="429"/>
      <c r="I30" s="429"/>
      <c r="J30" s="299" t="s">
        <v>620</v>
      </c>
      <c r="K30" s="763"/>
    </row>
    <row r="31" spans="1:42" s="180" customFormat="1" outlineLevel="2" x14ac:dyDescent="0.25">
      <c r="A31" s="245" t="s">
        <v>18</v>
      </c>
      <c r="B31" s="339" t="s">
        <v>133</v>
      </c>
      <c r="C31" s="2" t="s">
        <v>0</v>
      </c>
      <c r="D31" s="2" t="s">
        <v>134</v>
      </c>
      <c r="E31" s="345"/>
      <c r="F31" s="345"/>
      <c r="G31" s="345"/>
      <c r="H31" s="345"/>
      <c r="I31" s="345"/>
      <c r="J31" s="437"/>
      <c r="K31" s="763"/>
    </row>
    <row r="32" spans="1:42" s="197" customFormat="1" ht="25.5" outlineLevel="3" x14ac:dyDescent="0.25">
      <c r="A32" s="249"/>
      <c r="B32" s="193" t="s">
        <v>135</v>
      </c>
      <c r="C32" s="363" t="s">
        <v>0</v>
      </c>
      <c r="D32" s="363" t="str">
        <f>D31</f>
        <v>34,3</v>
      </c>
      <c r="E32" s="196"/>
      <c r="F32" s="196"/>
      <c r="G32" s="196"/>
      <c r="H32" s="196"/>
      <c r="I32" s="196"/>
      <c r="J32" s="299"/>
      <c r="K32" s="763"/>
    </row>
    <row r="33" spans="1:14" s="257" customFormat="1" outlineLevel="2" x14ac:dyDescent="0.25">
      <c r="A33" s="245" t="s">
        <v>19</v>
      </c>
      <c r="B33" s="179" t="s">
        <v>138</v>
      </c>
      <c r="C33" s="365" t="s">
        <v>60</v>
      </c>
      <c r="D33" s="365" t="s">
        <v>139</v>
      </c>
      <c r="E33" s="196"/>
      <c r="F33" s="196"/>
      <c r="G33" s="196"/>
      <c r="H33" s="196"/>
      <c r="I33" s="196"/>
      <c r="J33" s="299" t="s">
        <v>620</v>
      </c>
      <c r="K33" s="763"/>
    </row>
    <row r="34" spans="1:14" s="257" customFormat="1" ht="38.25" outlineLevel="2" x14ac:dyDescent="0.25">
      <c r="A34" s="245" t="s">
        <v>20</v>
      </c>
      <c r="B34" s="179" t="s">
        <v>658</v>
      </c>
      <c r="C34" s="2" t="s">
        <v>45</v>
      </c>
      <c r="D34" s="365">
        <v>4</v>
      </c>
      <c r="E34" s="428"/>
      <c r="F34" s="428"/>
      <c r="G34" s="428"/>
      <c r="H34" s="428"/>
      <c r="I34" s="428"/>
      <c r="J34" s="297" t="s">
        <v>657</v>
      </c>
      <c r="K34" s="438"/>
    </row>
    <row r="35" spans="1:14" s="197" customFormat="1" ht="38.25" outlineLevel="4" x14ac:dyDescent="0.25">
      <c r="A35" s="249"/>
      <c r="B35" s="193" t="s">
        <v>162</v>
      </c>
      <c r="C35" s="363" t="s">
        <v>54</v>
      </c>
      <c r="D35" s="363" t="s">
        <v>46</v>
      </c>
      <c r="E35" s="429"/>
      <c r="F35" s="429"/>
      <c r="G35" s="429"/>
      <c r="H35" s="429"/>
      <c r="I35" s="429"/>
      <c r="J35" s="297" t="s">
        <v>657</v>
      </c>
      <c r="K35" s="436"/>
    </row>
    <row r="36" spans="1:14" s="257" customFormat="1" ht="38.25" outlineLevel="3" x14ac:dyDescent="0.25">
      <c r="A36" s="245"/>
      <c r="B36" s="179" t="s">
        <v>164</v>
      </c>
      <c r="C36" s="365" t="s">
        <v>54</v>
      </c>
      <c r="D36" s="365" t="s">
        <v>7</v>
      </c>
      <c r="E36" s="429"/>
      <c r="F36" s="429"/>
      <c r="G36" s="429"/>
      <c r="H36" s="429"/>
      <c r="I36" s="429"/>
      <c r="J36" s="297" t="s">
        <v>657</v>
      </c>
      <c r="K36" s="436"/>
    </row>
    <row r="37" spans="1:14" s="257" customFormat="1" ht="38.25" outlineLevel="3" x14ac:dyDescent="0.25">
      <c r="A37" s="245"/>
      <c r="B37" s="179" t="s">
        <v>166</v>
      </c>
      <c r="C37" s="365" t="s">
        <v>54</v>
      </c>
      <c r="D37" s="365" t="s">
        <v>7</v>
      </c>
      <c r="E37" s="256"/>
      <c r="F37" s="256"/>
      <c r="G37" s="256"/>
      <c r="H37" s="256"/>
      <c r="I37" s="256"/>
      <c r="J37" s="297" t="s">
        <v>657</v>
      </c>
      <c r="K37" s="439"/>
    </row>
    <row r="38" spans="1:14" s="257" customFormat="1" outlineLevel="3" x14ac:dyDescent="0.25">
      <c r="A38" s="245"/>
      <c r="B38" s="179" t="s">
        <v>742</v>
      </c>
      <c r="C38" s="365" t="s">
        <v>92</v>
      </c>
      <c r="D38" s="365">
        <f>SUM(D39:D43)</f>
        <v>1811.4</v>
      </c>
      <c r="E38" s="256"/>
      <c r="F38" s="256"/>
      <c r="G38" s="256"/>
      <c r="H38" s="256"/>
      <c r="I38" s="256"/>
      <c r="J38" s="297"/>
      <c r="K38" s="436"/>
    </row>
    <row r="39" spans="1:14" s="197" customFormat="1" ht="38.25" customHeight="1" outlineLevel="4" x14ac:dyDescent="0.25">
      <c r="A39" s="249"/>
      <c r="B39" s="193" t="s">
        <v>741</v>
      </c>
      <c r="C39" s="177" t="s">
        <v>92</v>
      </c>
      <c r="D39" s="363">
        <f>163.02*4</f>
        <v>652.08000000000004</v>
      </c>
      <c r="E39" s="428"/>
      <c r="F39" s="428"/>
      <c r="G39" s="428"/>
      <c r="H39" s="428"/>
      <c r="I39" s="428"/>
      <c r="J39" s="297" t="s">
        <v>657</v>
      </c>
      <c r="K39" s="436"/>
      <c r="M39" s="863"/>
      <c r="N39" s="864"/>
    </row>
    <row r="40" spans="1:14" s="197" customFormat="1" ht="38.25" customHeight="1" outlineLevel="4" x14ac:dyDescent="0.25">
      <c r="A40" s="249"/>
      <c r="B40" s="193" t="s">
        <v>154</v>
      </c>
      <c r="C40" s="177" t="s">
        <v>92</v>
      </c>
      <c r="D40" s="363">
        <f>(84.53+34.3+73.5+48.02)*4</f>
        <v>961.4</v>
      </c>
      <c r="E40" s="428"/>
      <c r="F40" s="428"/>
      <c r="G40" s="428"/>
      <c r="H40" s="428"/>
      <c r="I40" s="428"/>
      <c r="J40" s="297"/>
      <c r="K40" s="436"/>
      <c r="M40" s="863"/>
      <c r="N40" s="864"/>
    </row>
    <row r="41" spans="1:14" s="197" customFormat="1" outlineLevel="4" x14ac:dyDescent="0.25">
      <c r="A41" s="249"/>
      <c r="B41" s="193" t="s">
        <v>663</v>
      </c>
      <c r="C41" s="177" t="s">
        <v>92</v>
      </c>
      <c r="D41" s="363">
        <v>111.68</v>
      </c>
      <c r="E41" s="428"/>
      <c r="F41" s="428"/>
      <c r="G41" s="428"/>
      <c r="H41" s="428"/>
      <c r="I41" s="428"/>
      <c r="J41" s="297"/>
      <c r="K41" s="436"/>
      <c r="M41" s="863"/>
      <c r="N41" s="864"/>
    </row>
    <row r="42" spans="1:14" s="197" customFormat="1" outlineLevel="4" x14ac:dyDescent="0.25">
      <c r="A42" s="249"/>
      <c r="B42" s="193" t="s">
        <v>158</v>
      </c>
      <c r="C42" s="177" t="s">
        <v>92</v>
      </c>
      <c r="D42" s="363">
        <f>6.74*4</f>
        <v>26.96</v>
      </c>
      <c r="E42" s="428"/>
      <c r="F42" s="428"/>
      <c r="G42" s="428"/>
      <c r="H42" s="428"/>
      <c r="I42" s="428"/>
      <c r="J42" s="297"/>
      <c r="K42" s="436"/>
      <c r="M42" s="863"/>
      <c r="N42" s="864"/>
    </row>
    <row r="43" spans="1:14" s="197" customFormat="1" outlineLevel="4" x14ac:dyDescent="0.25">
      <c r="A43" s="249"/>
      <c r="B43" s="193" t="s">
        <v>159</v>
      </c>
      <c r="C43" s="177" t="s">
        <v>92</v>
      </c>
      <c r="D43" s="363">
        <f>14.82*4</f>
        <v>59.28</v>
      </c>
      <c r="E43" s="428"/>
      <c r="F43" s="428"/>
      <c r="G43" s="428"/>
      <c r="H43" s="428"/>
      <c r="I43" s="428"/>
      <c r="J43" s="297"/>
      <c r="K43" s="436"/>
      <c r="M43" s="863"/>
      <c r="N43" s="864"/>
    </row>
    <row r="44" spans="1:14" s="257" customFormat="1" ht="25.5" outlineLevel="2" x14ac:dyDescent="0.25">
      <c r="A44" s="245" t="s">
        <v>308</v>
      </c>
      <c r="B44" s="179" t="s">
        <v>659</v>
      </c>
      <c r="C44" s="2" t="s">
        <v>45</v>
      </c>
      <c r="D44" s="365">
        <v>88</v>
      </c>
      <c r="E44" s="256"/>
      <c r="F44" s="256"/>
      <c r="G44" s="256"/>
      <c r="H44" s="256"/>
      <c r="I44" s="256"/>
      <c r="J44" s="297" t="s">
        <v>621</v>
      </c>
      <c r="K44" s="185"/>
    </row>
    <row r="45" spans="1:14" s="197" customFormat="1" outlineLevel="3" x14ac:dyDescent="0.25">
      <c r="A45" s="249"/>
      <c r="B45" s="193" t="s">
        <v>175</v>
      </c>
      <c r="C45" s="177" t="s">
        <v>45</v>
      </c>
      <c r="D45" s="363" t="s">
        <v>174</v>
      </c>
      <c r="E45" s="428"/>
      <c r="F45" s="428"/>
      <c r="G45" s="428"/>
      <c r="H45" s="428"/>
      <c r="I45" s="428"/>
      <c r="J45" s="299"/>
      <c r="K45" s="763"/>
    </row>
    <row r="46" spans="1:14" s="197" customFormat="1" outlineLevel="3" x14ac:dyDescent="0.25">
      <c r="A46" s="249"/>
      <c r="B46" s="193" t="s">
        <v>179</v>
      </c>
      <c r="C46" s="177" t="s">
        <v>45</v>
      </c>
      <c r="D46" s="363" t="s">
        <v>178</v>
      </c>
      <c r="E46" s="428"/>
      <c r="F46" s="428"/>
      <c r="G46" s="428"/>
      <c r="H46" s="428"/>
      <c r="I46" s="428"/>
      <c r="J46" s="299"/>
      <c r="K46" s="763"/>
    </row>
    <row r="47" spans="1:14" s="257" customFormat="1" outlineLevel="2" x14ac:dyDescent="0.25">
      <c r="A47" s="245" t="s">
        <v>311</v>
      </c>
      <c r="B47" s="179" t="s">
        <v>181</v>
      </c>
      <c r="C47" s="2" t="s">
        <v>45</v>
      </c>
      <c r="D47" s="365" t="s">
        <v>46</v>
      </c>
      <c r="E47" s="429"/>
      <c r="F47" s="429"/>
      <c r="G47" s="429"/>
      <c r="H47" s="429"/>
      <c r="I47" s="429"/>
      <c r="J47" s="297" t="s">
        <v>620</v>
      </c>
      <c r="K47" s="763"/>
    </row>
    <row r="48" spans="1:14" s="197" customFormat="1" outlineLevel="3" x14ac:dyDescent="0.25">
      <c r="A48" s="249"/>
      <c r="B48" s="193" t="s">
        <v>182</v>
      </c>
      <c r="C48" s="177" t="s">
        <v>45</v>
      </c>
      <c r="D48" s="363" t="s">
        <v>46</v>
      </c>
      <c r="E48" s="429"/>
      <c r="F48" s="429"/>
      <c r="G48" s="429"/>
      <c r="H48" s="429"/>
      <c r="I48" s="429"/>
      <c r="J48" s="297" t="s">
        <v>620</v>
      </c>
      <c r="K48" s="764"/>
    </row>
    <row r="49" spans="1:11" s="257" customFormat="1" outlineLevel="1" x14ac:dyDescent="0.25">
      <c r="A49" s="245" t="s">
        <v>315</v>
      </c>
      <c r="B49" s="179" t="s">
        <v>748</v>
      </c>
      <c r="C49" s="365" t="s">
        <v>60</v>
      </c>
      <c r="D49" s="365" t="s">
        <v>141</v>
      </c>
      <c r="E49" s="256"/>
      <c r="F49" s="256"/>
      <c r="G49" s="256"/>
      <c r="H49" s="256"/>
      <c r="I49" s="256"/>
      <c r="J49" s="297"/>
      <c r="K49" s="367"/>
    </row>
    <row r="50" spans="1:11" s="257" customFormat="1" outlineLevel="2" x14ac:dyDescent="0.25">
      <c r="A50" s="245"/>
      <c r="B50" s="179" t="s">
        <v>748</v>
      </c>
      <c r="C50" s="365" t="s">
        <v>60</v>
      </c>
      <c r="D50" s="365">
        <v>271</v>
      </c>
      <c r="E50" s="256"/>
      <c r="F50" s="256"/>
      <c r="G50" s="256"/>
      <c r="H50" s="256"/>
      <c r="I50" s="256"/>
      <c r="J50" s="297"/>
      <c r="K50" s="367"/>
    </row>
    <row r="51" spans="1:11" s="197" customFormat="1" outlineLevel="2" x14ac:dyDescent="0.25">
      <c r="A51" s="249"/>
      <c r="B51" s="193" t="s">
        <v>75</v>
      </c>
      <c r="C51" s="363" t="s">
        <v>76</v>
      </c>
      <c r="D51" s="363" t="s">
        <v>142</v>
      </c>
      <c r="E51" s="196"/>
      <c r="F51" s="196"/>
      <c r="G51" s="196"/>
      <c r="H51" s="196"/>
      <c r="I51" s="196"/>
      <c r="J51" s="299"/>
      <c r="K51" s="367"/>
    </row>
    <row r="52" spans="1:11" s="257" customFormat="1" outlineLevel="2" x14ac:dyDescent="0.25">
      <c r="A52" s="245"/>
      <c r="B52" s="179" t="s">
        <v>752</v>
      </c>
      <c r="C52" s="365" t="s">
        <v>60</v>
      </c>
      <c r="D52" s="365" t="s">
        <v>146</v>
      </c>
      <c r="E52" s="256"/>
      <c r="F52" s="256"/>
      <c r="G52" s="256"/>
      <c r="H52" s="256"/>
      <c r="I52" s="256"/>
      <c r="J52" s="297"/>
      <c r="K52" s="367"/>
    </row>
    <row r="53" spans="1:11" s="197" customFormat="1" ht="12.75" customHeight="1" outlineLevel="3" x14ac:dyDescent="0.25">
      <c r="A53" s="249"/>
      <c r="B53" s="193" t="s">
        <v>147</v>
      </c>
      <c r="C53" s="363" t="s">
        <v>76</v>
      </c>
      <c r="D53" s="363" t="s">
        <v>148</v>
      </c>
      <c r="E53" s="196"/>
      <c r="F53" s="196"/>
      <c r="G53" s="196"/>
      <c r="H53" s="196"/>
      <c r="I53" s="196"/>
      <c r="J53" s="299" t="s">
        <v>143</v>
      </c>
      <c r="K53" s="367"/>
    </row>
    <row r="54" spans="1:11" s="257" customFormat="1" outlineLevel="2" x14ac:dyDescent="0.25">
      <c r="A54" s="245"/>
      <c r="B54" s="179" t="s">
        <v>749</v>
      </c>
      <c r="C54" s="2" t="s">
        <v>45</v>
      </c>
      <c r="D54" s="365" t="s">
        <v>6</v>
      </c>
      <c r="E54" s="256"/>
      <c r="F54" s="256"/>
      <c r="G54" s="256"/>
      <c r="H54" s="256"/>
      <c r="I54" s="256"/>
      <c r="J54" s="297"/>
      <c r="K54" s="367"/>
    </row>
    <row r="55" spans="1:11" s="197" customFormat="1" ht="25.5" customHeight="1" outlineLevel="3" x14ac:dyDescent="0.25">
      <c r="A55" s="249"/>
      <c r="B55" s="193" t="s">
        <v>169</v>
      </c>
      <c r="C55" s="177" t="s">
        <v>45</v>
      </c>
      <c r="D55" s="363" t="s">
        <v>6</v>
      </c>
      <c r="E55" s="196"/>
      <c r="F55" s="196"/>
      <c r="G55" s="196"/>
      <c r="H55" s="196"/>
      <c r="I55" s="196"/>
      <c r="J55" s="299"/>
      <c r="K55" s="367"/>
    </row>
    <row r="56" spans="1:11" s="257" customFormat="1" outlineLevel="2" x14ac:dyDescent="0.25">
      <c r="A56" s="245"/>
      <c r="B56" s="179" t="s">
        <v>750</v>
      </c>
      <c r="C56" s="2" t="s">
        <v>45</v>
      </c>
      <c r="D56" s="365" t="s">
        <v>46</v>
      </c>
      <c r="E56" s="256"/>
      <c r="F56" s="256"/>
      <c r="G56" s="256"/>
      <c r="H56" s="256"/>
      <c r="I56" s="256"/>
      <c r="J56" s="297"/>
      <c r="K56" s="367"/>
    </row>
    <row r="57" spans="1:11" s="197" customFormat="1" ht="12.75" customHeight="1" outlineLevel="3" x14ac:dyDescent="0.25">
      <c r="A57" s="249"/>
      <c r="B57" s="193" t="s">
        <v>84</v>
      </c>
      <c r="C57" s="177" t="s">
        <v>45</v>
      </c>
      <c r="D57" s="363" t="s">
        <v>46</v>
      </c>
      <c r="E57" s="196"/>
      <c r="F57" s="196"/>
      <c r="G57" s="196"/>
      <c r="H57" s="196"/>
      <c r="I57" s="196"/>
      <c r="J57" s="299"/>
      <c r="K57" s="367"/>
    </row>
    <row r="58" spans="1:11" s="257" customFormat="1" outlineLevel="2" x14ac:dyDescent="0.25">
      <c r="A58" s="245"/>
      <c r="B58" s="179" t="s">
        <v>751</v>
      </c>
      <c r="C58" s="365" t="s">
        <v>126</v>
      </c>
      <c r="D58" s="365" t="s">
        <v>195</v>
      </c>
      <c r="E58" s="256"/>
      <c r="F58" s="256"/>
      <c r="G58" s="256"/>
      <c r="H58" s="256"/>
      <c r="I58" s="256"/>
      <c r="J58" s="297"/>
      <c r="K58" s="367"/>
    </row>
    <row r="59" spans="1:11" s="197" customFormat="1" ht="12.75" customHeight="1" outlineLevel="3" x14ac:dyDescent="0.25">
      <c r="A59" s="249"/>
      <c r="B59" s="193" t="s">
        <v>196</v>
      </c>
      <c r="C59" s="363" t="s">
        <v>76</v>
      </c>
      <c r="D59" s="363" t="s">
        <v>197</v>
      </c>
      <c r="E59" s="196"/>
      <c r="F59" s="196"/>
      <c r="G59" s="196"/>
      <c r="H59" s="196"/>
      <c r="I59" s="196"/>
      <c r="J59" s="299" t="s">
        <v>198</v>
      </c>
      <c r="K59" s="367"/>
    </row>
    <row r="60" spans="1:11" s="257" customFormat="1" outlineLevel="2" x14ac:dyDescent="0.25">
      <c r="A60" s="245"/>
      <c r="B60" s="179" t="s">
        <v>202</v>
      </c>
      <c r="C60" s="365" t="s">
        <v>54</v>
      </c>
      <c r="D60" s="365" t="s">
        <v>7</v>
      </c>
      <c r="E60" s="256"/>
      <c r="F60" s="256"/>
      <c r="G60" s="256"/>
      <c r="H60" s="256"/>
      <c r="I60" s="256"/>
      <c r="J60" s="297"/>
      <c r="K60" s="367"/>
    </row>
    <row r="61" spans="1:11" s="197" customFormat="1" ht="12.75" customHeight="1" outlineLevel="3" x14ac:dyDescent="0.25">
      <c r="A61" s="249"/>
      <c r="B61" s="193" t="s">
        <v>202</v>
      </c>
      <c r="C61" s="177" t="s">
        <v>45</v>
      </c>
      <c r="D61" s="363" t="s">
        <v>7</v>
      </c>
      <c r="E61" s="196"/>
      <c r="F61" s="196"/>
      <c r="G61" s="196"/>
      <c r="H61" s="196"/>
      <c r="I61" s="196"/>
      <c r="J61" s="299"/>
      <c r="K61" s="367"/>
    </row>
    <row r="62" spans="1:11" s="257" customFormat="1" outlineLevel="2" x14ac:dyDescent="0.25">
      <c r="A62" s="245"/>
      <c r="B62" s="179" t="s">
        <v>204</v>
      </c>
      <c r="C62" s="365" t="s">
        <v>54</v>
      </c>
      <c r="D62" s="365" t="s">
        <v>7</v>
      </c>
      <c r="E62" s="256"/>
      <c r="F62" s="256"/>
      <c r="G62" s="256"/>
      <c r="H62" s="256"/>
      <c r="I62" s="256"/>
      <c r="J62" s="297"/>
      <c r="K62" s="367"/>
    </row>
    <row r="63" spans="1:11" s="257" customFormat="1" outlineLevel="2" collapsed="1" x14ac:dyDescent="0.25">
      <c r="A63" s="245"/>
      <c r="B63" s="179" t="s">
        <v>205</v>
      </c>
      <c r="C63" s="2" t="s">
        <v>573</v>
      </c>
      <c r="D63" s="365" t="s">
        <v>7</v>
      </c>
      <c r="E63" s="256"/>
      <c r="F63" s="256"/>
      <c r="G63" s="256"/>
      <c r="H63" s="256"/>
      <c r="I63" s="256"/>
      <c r="J63" s="297"/>
      <c r="K63" s="367"/>
    </row>
    <row r="64" spans="1:11" s="197" customFormat="1" ht="12.75" customHeight="1" outlineLevel="2" x14ac:dyDescent="0.25">
      <c r="A64" s="249"/>
      <c r="B64" s="193" t="s">
        <v>205</v>
      </c>
      <c r="C64" s="177" t="s">
        <v>45</v>
      </c>
      <c r="D64" s="363" t="s">
        <v>7</v>
      </c>
      <c r="E64" s="196"/>
      <c r="F64" s="196"/>
      <c r="G64" s="196"/>
      <c r="H64" s="196"/>
      <c r="I64" s="196"/>
      <c r="J64" s="299"/>
      <c r="K64" s="367"/>
    </row>
    <row r="65" spans="1:42" s="257" customFormat="1" ht="25.5" outlineLevel="1" x14ac:dyDescent="0.25">
      <c r="A65" s="245" t="s">
        <v>319</v>
      </c>
      <c r="B65" s="179" t="s">
        <v>184</v>
      </c>
      <c r="C65" s="365" t="s">
        <v>69</v>
      </c>
      <c r="D65" s="365" t="s">
        <v>185</v>
      </c>
      <c r="E65" s="428"/>
      <c r="F65" s="428"/>
      <c r="G65" s="428"/>
      <c r="H65" s="428"/>
      <c r="I65" s="428"/>
      <c r="J65" s="297" t="s">
        <v>743</v>
      </c>
      <c r="K65" s="765" t="s">
        <v>643</v>
      </c>
    </row>
    <row r="66" spans="1:42" s="197" customFormat="1" outlineLevel="2" x14ac:dyDescent="0.25">
      <c r="A66" s="249"/>
      <c r="B66" s="193" t="s">
        <v>86</v>
      </c>
      <c r="C66" s="363" t="s">
        <v>0</v>
      </c>
      <c r="D66" s="363" t="s">
        <v>187</v>
      </c>
      <c r="E66" s="428"/>
      <c r="F66" s="428"/>
      <c r="G66" s="428"/>
      <c r="H66" s="428"/>
      <c r="I66" s="428"/>
      <c r="J66" s="299"/>
      <c r="K66" s="766"/>
    </row>
    <row r="67" spans="1:42" s="197" customFormat="1" outlineLevel="2" x14ac:dyDescent="0.25">
      <c r="A67" s="249"/>
      <c r="B67" s="193" t="s">
        <v>88</v>
      </c>
      <c r="C67" s="363" t="s">
        <v>89</v>
      </c>
      <c r="D67" s="363" t="s">
        <v>188</v>
      </c>
      <c r="E67" s="428"/>
      <c r="F67" s="428"/>
      <c r="G67" s="428"/>
      <c r="H67" s="428"/>
      <c r="I67" s="428"/>
      <c r="J67" s="299"/>
      <c r="K67" s="766"/>
    </row>
    <row r="68" spans="1:42" s="197" customFormat="1" outlineLevel="2" x14ac:dyDescent="0.25">
      <c r="A68" s="249"/>
      <c r="B68" s="193" t="s">
        <v>91</v>
      </c>
      <c r="C68" s="363" t="s">
        <v>92</v>
      </c>
      <c r="D68" s="363" t="s">
        <v>189</v>
      </c>
      <c r="E68" s="428"/>
      <c r="F68" s="428"/>
      <c r="G68" s="428"/>
      <c r="H68" s="428"/>
      <c r="I68" s="428"/>
      <c r="J68" s="299"/>
      <c r="K68" s="766"/>
    </row>
    <row r="69" spans="1:42" s="197" customFormat="1" outlineLevel="2" x14ac:dyDescent="0.25">
      <c r="A69" s="249"/>
      <c r="B69" s="193" t="s">
        <v>94</v>
      </c>
      <c r="C69" s="363" t="s">
        <v>89</v>
      </c>
      <c r="D69" s="363" t="s">
        <v>190</v>
      </c>
      <c r="E69" s="428"/>
      <c r="F69" s="428"/>
      <c r="G69" s="428"/>
      <c r="H69" s="428"/>
      <c r="I69" s="428"/>
      <c r="J69" s="299"/>
      <c r="K69" s="766"/>
    </row>
    <row r="70" spans="1:42" s="197" customFormat="1" outlineLevel="2" x14ac:dyDescent="0.25">
      <c r="A70" s="249"/>
      <c r="B70" s="193" t="s">
        <v>664</v>
      </c>
      <c r="C70" s="363" t="s">
        <v>92</v>
      </c>
      <c r="D70" s="363" t="s">
        <v>192</v>
      </c>
      <c r="E70" s="428"/>
      <c r="F70" s="428"/>
      <c r="G70" s="428"/>
      <c r="H70" s="428"/>
      <c r="I70" s="428"/>
      <c r="J70" s="299"/>
      <c r="K70" s="767"/>
    </row>
    <row r="71" spans="1:42" s="341" customFormat="1" ht="38.25" x14ac:dyDescent="0.25">
      <c r="A71" s="379" t="s">
        <v>98</v>
      </c>
      <c r="B71" s="376" t="s">
        <v>675</v>
      </c>
      <c r="C71" s="395" t="s">
        <v>0</v>
      </c>
      <c r="D71" s="430">
        <f>SUM(D72:D73)</f>
        <v>17595</v>
      </c>
      <c r="E71" s="431"/>
      <c r="F71" s="431"/>
      <c r="G71" s="431"/>
      <c r="H71" s="431"/>
      <c r="I71" s="431"/>
      <c r="J71" s="432"/>
      <c r="K71" s="28"/>
    </row>
    <row r="72" spans="1:42" s="341" customFormat="1" ht="25.5" outlineLevel="1" x14ac:dyDescent="0.25">
      <c r="A72" s="245" t="s">
        <v>16</v>
      </c>
      <c r="B72" s="339" t="s">
        <v>677</v>
      </c>
      <c r="C72" s="2" t="s">
        <v>676</v>
      </c>
      <c r="D72" s="343">
        <v>17001</v>
      </c>
      <c r="E72" s="344"/>
      <c r="F72" s="344"/>
      <c r="G72" s="344"/>
      <c r="H72" s="344"/>
      <c r="I72" s="344"/>
      <c r="J72" s="342"/>
      <c r="K72" s="342"/>
    </row>
    <row r="73" spans="1:42" s="347" customFormat="1" outlineLevel="1" x14ac:dyDescent="0.25">
      <c r="A73" s="245" t="s">
        <v>17</v>
      </c>
      <c r="B73" s="339" t="s">
        <v>25</v>
      </c>
      <c r="C73" s="2" t="s">
        <v>0</v>
      </c>
      <c r="D73" s="340">
        <v>594</v>
      </c>
      <c r="E73" s="345"/>
      <c r="F73" s="345"/>
      <c r="G73" s="345"/>
      <c r="H73" s="345"/>
      <c r="I73" s="345"/>
      <c r="J73" s="346"/>
      <c r="K73" s="2"/>
    </row>
    <row r="74" spans="1:42" ht="38.25" x14ac:dyDescent="0.25">
      <c r="A74" s="397" t="s">
        <v>46</v>
      </c>
      <c r="B74" s="440" t="s">
        <v>63</v>
      </c>
      <c r="C74" s="401" t="s">
        <v>60</v>
      </c>
      <c r="D74" s="441">
        <v>265</v>
      </c>
      <c r="E74" s="443"/>
      <c r="F74" s="443"/>
      <c r="G74" s="443"/>
      <c r="H74" s="443"/>
      <c r="I74" s="443"/>
      <c r="J74" s="385" t="s">
        <v>691</v>
      </c>
      <c r="K74" s="768" t="s">
        <v>143</v>
      </c>
    </row>
    <row r="75" spans="1:42" s="55" customFormat="1" ht="25.5" customHeight="1" outlineLevel="1" x14ac:dyDescent="0.25">
      <c r="A75" s="61"/>
      <c r="B75" s="51" t="s">
        <v>75</v>
      </c>
      <c r="C75" s="244" t="s">
        <v>76</v>
      </c>
      <c r="D75" s="62" t="s">
        <v>690</v>
      </c>
      <c r="E75" s="364"/>
      <c r="F75" s="364"/>
      <c r="G75" s="364"/>
      <c r="H75" s="364"/>
      <c r="I75" s="364"/>
      <c r="J75" s="193"/>
      <c r="K75" s="769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</row>
    <row r="76" spans="1:42" s="426" customFormat="1" ht="25.5" x14ac:dyDescent="0.25">
      <c r="A76" s="397" t="s">
        <v>74</v>
      </c>
      <c r="B76" s="440" t="s">
        <v>68</v>
      </c>
      <c r="C76" s="401" t="s">
        <v>69</v>
      </c>
      <c r="D76" s="441" t="s">
        <v>70</v>
      </c>
      <c r="E76" s="402"/>
      <c r="F76" s="402"/>
      <c r="G76" s="402"/>
      <c r="H76" s="402"/>
      <c r="I76" s="402"/>
      <c r="J76" s="442"/>
      <c r="K76" s="770" t="s">
        <v>643</v>
      </c>
      <c r="L76" s="425"/>
      <c r="M76" s="425"/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425"/>
      <c r="AE76" s="425"/>
      <c r="AF76" s="425"/>
      <c r="AG76" s="425"/>
      <c r="AH76" s="425"/>
      <c r="AI76" s="425"/>
      <c r="AJ76" s="425"/>
      <c r="AK76" s="425"/>
      <c r="AL76" s="425"/>
      <c r="AM76" s="425"/>
      <c r="AN76" s="425"/>
      <c r="AO76" s="425"/>
      <c r="AP76" s="425"/>
    </row>
    <row r="77" spans="1:42" s="55" customFormat="1" outlineLevel="1" x14ac:dyDescent="0.25">
      <c r="A77" s="61"/>
      <c r="B77" s="51" t="s">
        <v>86</v>
      </c>
      <c r="C77" s="244" t="s">
        <v>0</v>
      </c>
      <c r="D77" s="62" t="s">
        <v>87</v>
      </c>
      <c r="E77" s="196"/>
      <c r="F77" s="196"/>
      <c r="G77" s="196"/>
      <c r="H77" s="196"/>
      <c r="I77" s="196"/>
      <c r="J77" s="193"/>
      <c r="K77" s="770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</row>
    <row r="78" spans="1:42" s="55" customFormat="1" outlineLevel="1" x14ac:dyDescent="0.25">
      <c r="A78" s="61"/>
      <c r="B78" s="51" t="s">
        <v>88</v>
      </c>
      <c r="C78" s="244" t="s">
        <v>89</v>
      </c>
      <c r="D78" s="62" t="s">
        <v>90</v>
      </c>
      <c r="E78" s="196"/>
      <c r="F78" s="196"/>
      <c r="G78" s="196"/>
      <c r="H78" s="196"/>
      <c r="I78" s="196"/>
      <c r="J78" s="193"/>
      <c r="K78" s="770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</row>
    <row r="79" spans="1:42" s="55" customFormat="1" outlineLevel="1" x14ac:dyDescent="0.25">
      <c r="A79" s="61"/>
      <c r="B79" s="51" t="s">
        <v>91</v>
      </c>
      <c r="C79" s="244" t="s">
        <v>92</v>
      </c>
      <c r="D79" s="62" t="s">
        <v>93</v>
      </c>
      <c r="E79" s="196"/>
      <c r="F79" s="196"/>
      <c r="G79" s="196"/>
      <c r="H79" s="196"/>
      <c r="I79" s="196"/>
      <c r="J79" s="193"/>
      <c r="K79" s="770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</row>
    <row r="80" spans="1:42" s="55" customFormat="1" outlineLevel="1" x14ac:dyDescent="0.25">
      <c r="A80" s="61"/>
      <c r="B80" s="51" t="s">
        <v>94</v>
      </c>
      <c r="C80" s="244" t="s">
        <v>89</v>
      </c>
      <c r="D80" s="62" t="s">
        <v>95</v>
      </c>
      <c r="E80" s="196"/>
      <c r="F80" s="196"/>
      <c r="G80" s="196"/>
      <c r="H80" s="196"/>
      <c r="I80" s="196"/>
      <c r="J80" s="193"/>
      <c r="K80" s="770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</row>
    <row r="81" spans="1:42" s="197" customFormat="1" outlineLevel="1" x14ac:dyDescent="0.25">
      <c r="A81" s="192"/>
      <c r="B81" s="193" t="s">
        <v>96</v>
      </c>
      <c r="C81" s="194" t="s">
        <v>92</v>
      </c>
      <c r="D81" s="195" t="s">
        <v>97</v>
      </c>
      <c r="E81" s="196"/>
      <c r="F81" s="196"/>
      <c r="G81" s="196"/>
      <c r="H81" s="196"/>
      <c r="I81" s="196"/>
      <c r="J81" s="193"/>
      <c r="K81" s="770"/>
    </row>
    <row r="82" spans="1:42" outlineLevel="1" x14ac:dyDescent="0.25">
      <c r="A82" s="59"/>
      <c r="B82" s="56" t="s">
        <v>71</v>
      </c>
      <c r="C82" s="57" t="s">
        <v>56</v>
      </c>
      <c r="D82" s="60" t="s">
        <v>72</v>
      </c>
      <c r="E82" s="256"/>
      <c r="F82" s="256"/>
      <c r="G82" s="256"/>
      <c r="H82" s="256"/>
      <c r="I82" s="256"/>
      <c r="J82" s="179"/>
      <c r="K82" s="360"/>
    </row>
    <row r="83" spans="1:42" s="55" customFormat="1" outlineLevel="1" x14ac:dyDescent="0.25">
      <c r="A83" s="61"/>
      <c r="B83" s="51" t="s">
        <v>81</v>
      </c>
      <c r="C83" s="244" t="s">
        <v>0</v>
      </c>
      <c r="D83" s="62">
        <v>34</v>
      </c>
      <c r="E83" s="196"/>
      <c r="F83" s="196"/>
      <c r="G83" s="196"/>
      <c r="H83" s="196"/>
      <c r="I83" s="196"/>
      <c r="J83" s="193"/>
      <c r="K83" s="360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</row>
    <row r="84" spans="1:42" x14ac:dyDescent="0.25">
      <c r="A84" s="379" t="s">
        <v>582</v>
      </c>
      <c r="B84" s="376" t="s">
        <v>744</v>
      </c>
      <c r="C84" s="395" t="s">
        <v>60</v>
      </c>
      <c r="D84" s="395">
        <v>389</v>
      </c>
      <c r="E84" s="415"/>
      <c r="F84" s="415"/>
      <c r="G84" s="416"/>
      <c r="H84" s="416"/>
      <c r="I84" s="416"/>
      <c r="J84" s="433"/>
      <c r="K84" s="14"/>
    </row>
    <row r="85" spans="1:42" ht="25.5" outlineLevel="1" x14ac:dyDescent="0.25">
      <c r="A85" s="59" t="s">
        <v>755</v>
      </c>
      <c r="B85" s="56" t="s">
        <v>745</v>
      </c>
      <c r="C85" s="57" t="s">
        <v>0</v>
      </c>
      <c r="D85" s="60">
        <v>42</v>
      </c>
      <c r="E85" s="58"/>
      <c r="F85" s="58"/>
      <c r="G85" s="58"/>
      <c r="H85" s="58"/>
      <c r="I85" s="58"/>
      <c r="J85" s="210"/>
      <c r="K85" s="14"/>
    </row>
    <row r="86" spans="1:42" outlineLevel="1" x14ac:dyDescent="0.25">
      <c r="A86" s="59" t="s">
        <v>756</v>
      </c>
      <c r="B86" s="56" t="s">
        <v>49</v>
      </c>
      <c r="C86" s="12" t="s">
        <v>45</v>
      </c>
      <c r="D86" s="60" t="s">
        <v>46</v>
      </c>
      <c r="E86" s="58"/>
      <c r="F86" s="58"/>
      <c r="G86" s="58"/>
      <c r="H86" s="58"/>
      <c r="I86" s="58"/>
      <c r="J86" s="210"/>
      <c r="K86" s="14"/>
    </row>
    <row r="87" spans="1:42" s="55" customFormat="1" ht="25.5" outlineLevel="2" x14ac:dyDescent="0.25">
      <c r="A87" s="61"/>
      <c r="B87" s="51" t="s">
        <v>747</v>
      </c>
      <c r="C87" s="291" t="s">
        <v>76</v>
      </c>
      <c r="D87" s="62" t="s">
        <v>78</v>
      </c>
      <c r="E87" s="53"/>
      <c r="F87" s="53"/>
      <c r="G87" s="53"/>
      <c r="H87" s="53"/>
      <c r="I87" s="53"/>
      <c r="J87" s="294" t="s">
        <v>79</v>
      </c>
      <c r="K87" s="54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</row>
    <row r="88" spans="1:42" outlineLevel="2" x14ac:dyDescent="0.25">
      <c r="A88" s="59"/>
      <c r="B88" s="56" t="s">
        <v>50</v>
      </c>
      <c r="C88" s="57" t="s">
        <v>0</v>
      </c>
      <c r="D88" s="60" t="s">
        <v>51</v>
      </c>
      <c r="E88" s="58"/>
      <c r="F88" s="58"/>
      <c r="G88" s="58"/>
      <c r="H88" s="58"/>
      <c r="I88" s="58"/>
      <c r="J88" s="210"/>
      <c r="K88" s="14"/>
    </row>
    <row r="89" spans="1:42" s="55" customFormat="1" outlineLevel="2" x14ac:dyDescent="0.25">
      <c r="A89" s="61"/>
      <c r="B89" s="51" t="s">
        <v>81</v>
      </c>
      <c r="C89" s="291" t="s">
        <v>0</v>
      </c>
      <c r="D89" s="62">
        <v>38</v>
      </c>
      <c r="E89" s="53"/>
      <c r="F89" s="53"/>
      <c r="G89" s="53"/>
      <c r="H89" s="53"/>
      <c r="I89" s="53"/>
      <c r="J89" s="53"/>
      <c r="K89" s="53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</row>
    <row r="90" spans="1:42" outlineLevel="1" x14ac:dyDescent="0.25">
      <c r="A90" s="59" t="s">
        <v>757</v>
      </c>
      <c r="B90" s="56" t="s">
        <v>52</v>
      </c>
      <c r="C90" s="12" t="s">
        <v>45</v>
      </c>
      <c r="D90" s="60" t="s">
        <v>46</v>
      </c>
      <c r="E90" s="58"/>
      <c r="F90" s="58"/>
      <c r="G90" s="58"/>
      <c r="H90" s="58"/>
      <c r="I90" s="58"/>
      <c r="J90" s="210"/>
      <c r="K90" s="14"/>
    </row>
    <row r="91" spans="1:42" s="55" customFormat="1" ht="25.5" outlineLevel="2" x14ac:dyDescent="0.25">
      <c r="A91" s="61"/>
      <c r="B91" s="51" t="s">
        <v>73</v>
      </c>
      <c r="C91" s="17" t="s">
        <v>45</v>
      </c>
      <c r="D91" s="62" t="s">
        <v>74</v>
      </c>
      <c r="E91" s="53"/>
      <c r="F91" s="53"/>
      <c r="G91" s="53"/>
      <c r="H91" s="53"/>
      <c r="I91" s="53"/>
      <c r="J91" s="294" t="s">
        <v>118</v>
      </c>
      <c r="K91" s="54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</row>
    <row r="92" spans="1:42" outlineLevel="2" x14ac:dyDescent="0.25">
      <c r="A92" s="59"/>
      <c r="B92" s="56" t="s">
        <v>753</v>
      </c>
      <c r="C92" s="57" t="s">
        <v>54</v>
      </c>
      <c r="D92" s="60" t="s">
        <v>7</v>
      </c>
      <c r="E92" s="58"/>
      <c r="F92" s="58"/>
      <c r="G92" s="58"/>
      <c r="H92" s="58"/>
      <c r="I92" s="58"/>
      <c r="J92" s="210"/>
      <c r="K92" s="14"/>
    </row>
    <row r="93" spans="1:42" ht="25.5" outlineLevel="1" collapsed="1" x14ac:dyDescent="0.25">
      <c r="A93" s="253" t="s">
        <v>758</v>
      </c>
      <c r="B93" s="56" t="s">
        <v>746</v>
      </c>
      <c r="C93" s="57" t="s">
        <v>56</v>
      </c>
      <c r="D93" s="60" t="s">
        <v>57</v>
      </c>
      <c r="E93" s="58"/>
      <c r="F93" s="58"/>
      <c r="G93" s="58"/>
      <c r="H93" s="58"/>
      <c r="I93" s="58"/>
      <c r="J93" s="210"/>
      <c r="K93" s="14"/>
    </row>
    <row r="94" spans="1:42" ht="25.5" outlineLevel="1" x14ac:dyDescent="0.25">
      <c r="A94" s="59"/>
      <c r="B94" s="56" t="s">
        <v>59</v>
      </c>
      <c r="C94" s="57" t="s">
        <v>60</v>
      </c>
      <c r="D94" s="60" t="s">
        <v>61</v>
      </c>
      <c r="E94" s="58"/>
      <c r="F94" s="58"/>
      <c r="G94" s="58"/>
      <c r="H94" s="58"/>
      <c r="I94" s="58"/>
      <c r="J94" s="210" t="s">
        <v>759</v>
      </c>
      <c r="K94" s="14"/>
    </row>
    <row r="95" spans="1:42" s="55" customFormat="1" outlineLevel="2" x14ac:dyDescent="0.25">
      <c r="A95" s="61"/>
      <c r="B95" s="51" t="s">
        <v>80</v>
      </c>
      <c r="C95" s="291" t="s">
        <v>60</v>
      </c>
      <c r="D95" s="62" t="s">
        <v>61</v>
      </c>
      <c r="E95" s="53"/>
      <c r="F95" s="53"/>
      <c r="G95" s="53"/>
      <c r="H95" s="53"/>
      <c r="I95" s="53"/>
      <c r="J95" s="294"/>
      <c r="K95" s="54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</row>
    <row r="96" spans="1:42" outlineLevel="1" x14ac:dyDescent="0.25">
      <c r="A96" s="59"/>
      <c r="B96" s="56" t="s">
        <v>62</v>
      </c>
      <c r="C96" s="57" t="s">
        <v>56</v>
      </c>
      <c r="D96" s="60" t="s">
        <v>57</v>
      </c>
      <c r="E96" s="58"/>
      <c r="F96" s="58"/>
      <c r="G96" s="58"/>
      <c r="H96" s="58"/>
      <c r="I96" s="58"/>
      <c r="J96" s="210"/>
      <c r="K96" s="14"/>
    </row>
    <row r="97" spans="1:42" s="55" customFormat="1" outlineLevel="2" x14ac:dyDescent="0.25">
      <c r="A97" s="61"/>
      <c r="B97" s="51" t="s">
        <v>81</v>
      </c>
      <c r="C97" s="244" t="s">
        <v>0</v>
      </c>
      <c r="D97" s="62">
        <v>253</v>
      </c>
      <c r="E97" s="53"/>
      <c r="F97" s="53"/>
      <c r="G97" s="53"/>
      <c r="H97" s="53"/>
      <c r="I97" s="53"/>
      <c r="J97" s="53"/>
      <c r="K97" s="54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</row>
    <row r="98" spans="1:42" s="34" customFormat="1" ht="25.5" x14ac:dyDescent="0.25">
      <c r="A98" s="7"/>
      <c r="B98" s="128" t="s">
        <v>734</v>
      </c>
      <c r="C98" s="8"/>
      <c r="D98" s="129"/>
      <c r="E98" s="9"/>
      <c r="F98" s="9"/>
      <c r="G98" s="9"/>
      <c r="H98" s="9"/>
      <c r="I98" s="9"/>
      <c r="J98" s="302"/>
      <c r="K98" s="28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1"/>
      <c r="X98" s="341"/>
      <c r="Y98" s="341"/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1"/>
      <c r="AK98" s="341"/>
      <c r="AL98" s="341"/>
      <c r="AM98" s="341"/>
      <c r="AN98" s="341"/>
      <c r="AO98" s="341"/>
      <c r="AP98" s="341"/>
    </row>
    <row r="99" spans="1:42" s="34" customFormat="1" ht="25.5" x14ac:dyDescent="0.25">
      <c r="A99" s="379" t="s">
        <v>7</v>
      </c>
      <c r="B99" s="376" t="s">
        <v>733</v>
      </c>
      <c r="C99" s="420" t="s">
        <v>0</v>
      </c>
      <c r="D99" s="421">
        <v>14955</v>
      </c>
      <c r="E99" s="377"/>
      <c r="F99" s="377"/>
      <c r="G99" s="377"/>
      <c r="H99" s="377"/>
      <c r="I99" s="377"/>
      <c r="J99" s="378"/>
      <c r="K99" s="28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1"/>
      <c r="X99" s="341"/>
      <c r="Y99" s="341"/>
      <c r="Z99" s="341"/>
      <c r="AA99" s="341"/>
      <c r="AB99" s="341"/>
      <c r="AC99" s="341"/>
      <c r="AD99" s="341"/>
      <c r="AE99" s="341"/>
      <c r="AF99" s="341"/>
      <c r="AG99" s="341"/>
      <c r="AH99" s="341"/>
      <c r="AI99" s="341"/>
      <c r="AJ99" s="341"/>
      <c r="AK99" s="341"/>
      <c r="AL99" s="341"/>
      <c r="AM99" s="341"/>
      <c r="AN99" s="341"/>
      <c r="AO99" s="341"/>
      <c r="AP99" s="341"/>
    </row>
    <row r="100" spans="1:42" s="63" customFormat="1" ht="25.5" x14ac:dyDescent="0.25">
      <c r="A100" s="379" t="s">
        <v>6</v>
      </c>
      <c r="B100" s="380" t="s">
        <v>732</v>
      </c>
      <c r="C100" s="385" t="s">
        <v>573</v>
      </c>
      <c r="D100" s="386">
        <v>1</v>
      </c>
      <c r="E100" s="381"/>
      <c r="F100" s="381"/>
      <c r="G100" s="381"/>
      <c r="H100" s="381"/>
      <c r="I100" s="381"/>
      <c r="J100" s="382"/>
      <c r="K100" s="65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8"/>
      <c r="W100" s="338"/>
      <c r="X100" s="338"/>
      <c r="Y100" s="338"/>
      <c r="Z100" s="338"/>
      <c r="AA100" s="338"/>
      <c r="AB100" s="338"/>
      <c r="AC100" s="338"/>
      <c r="AD100" s="338"/>
      <c r="AE100" s="338"/>
      <c r="AF100" s="338"/>
      <c r="AG100" s="338"/>
      <c r="AH100" s="338"/>
      <c r="AI100" s="338"/>
      <c r="AJ100" s="338"/>
      <c r="AK100" s="338"/>
      <c r="AL100" s="338"/>
      <c r="AM100" s="338"/>
      <c r="AN100" s="338"/>
      <c r="AO100" s="338"/>
      <c r="AP100" s="338"/>
    </row>
    <row r="101" spans="1:42" s="27" customFormat="1" outlineLevel="1" x14ac:dyDescent="0.25">
      <c r="A101" s="10" t="s">
        <v>16</v>
      </c>
      <c r="B101" s="434" t="s">
        <v>212</v>
      </c>
      <c r="C101" s="13" t="s">
        <v>89</v>
      </c>
      <c r="D101" s="12">
        <v>6474</v>
      </c>
      <c r="E101" s="26"/>
      <c r="F101" s="26"/>
      <c r="G101" s="26"/>
      <c r="H101" s="26"/>
      <c r="I101" s="26"/>
      <c r="J101" s="210"/>
      <c r="K101" s="56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</row>
    <row r="102" spans="1:42" s="27" customFormat="1" outlineLevel="2" x14ac:dyDescent="0.25">
      <c r="A102" s="10"/>
      <c r="B102" s="22" t="s">
        <v>213</v>
      </c>
      <c r="C102" s="25" t="s">
        <v>214</v>
      </c>
      <c r="D102" s="17">
        <v>7121.4</v>
      </c>
      <c r="E102" s="26"/>
      <c r="F102" s="26"/>
      <c r="G102" s="26"/>
      <c r="H102" s="26"/>
      <c r="I102" s="26"/>
      <c r="J102" s="299" t="s">
        <v>215</v>
      </c>
      <c r="K102" s="56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</row>
    <row r="103" spans="1:42" s="27" customFormat="1" outlineLevel="1" x14ac:dyDescent="0.25">
      <c r="A103" s="10" t="s">
        <v>17</v>
      </c>
      <c r="B103" s="434" t="s">
        <v>216</v>
      </c>
      <c r="C103" s="13" t="s">
        <v>89</v>
      </c>
      <c r="D103" s="12">
        <v>126</v>
      </c>
      <c r="E103" s="26"/>
      <c r="F103" s="26"/>
      <c r="G103" s="26"/>
      <c r="H103" s="26"/>
      <c r="I103" s="26"/>
      <c r="J103" s="297"/>
      <c r="K103" s="56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</row>
    <row r="104" spans="1:42" s="27" customFormat="1" outlineLevel="2" x14ac:dyDescent="0.25">
      <c r="A104" s="10"/>
      <c r="B104" s="22" t="s">
        <v>217</v>
      </c>
      <c r="C104" s="25" t="s">
        <v>214</v>
      </c>
      <c r="D104" s="17">
        <v>138.6</v>
      </c>
      <c r="E104" s="26"/>
      <c r="F104" s="26"/>
      <c r="G104" s="26"/>
      <c r="H104" s="26"/>
      <c r="I104" s="26"/>
      <c r="J104" s="299" t="s">
        <v>215</v>
      </c>
      <c r="K104" s="56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</row>
    <row r="105" spans="1:42" s="27" customFormat="1" outlineLevel="1" x14ac:dyDescent="0.25">
      <c r="A105" s="10" t="s">
        <v>18</v>
      </c>
      <c r="B105" s="434" t="s">
        <v>218</v>
      </c>
      <c r="C105" s="13" t="s">
        <v>89</v>
      </c>
      <c r="D105" s="12">
        <v>336</v>
      </c>
      <c r="E105" s="19"/>
      <c r="F105" s="19"/>
      <c r="G105" s="19"/>
      <c r="H105" s="19"/>
      <c r="I105" s="19"/>
      <c r="J105" s="299" t="s">
        <v>215</v>
      </c>
      <c r="K105" s="56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</row>
    <row r="106" spans="1:42" s="27" customFormat="1" outlineLevel="2" x14ac:dyDescent="0.25">
      <c r="A106" s="10"/>
      <c r="B106" s="22" t="s">
        <v>219</v>
      </c>
      <c r="C106" s="25" t="s">
        <v>89</v>
      </c>
      <c r="D106" s="17">
        <v>369.6</v>
      </c>
      <c r="E106" s="26"/>
      <c r="F106" s="26"/>
      <c r="G106" s="26"/>
      <c r="H106" s="26"/>
      <c r="I106" s="26"/>
      <c r="J106" s="299" t="s">
        <v>220</v>
      </c>
      <c r="K106" s="56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</row>
    <row r="107" spans="1:42" s="27" customFormat="1" outlineLevel="1" x14ac:dyDescent="0.25">
      <c r="A107" s="10" t="s">
        <v>19</v>
      </c>
      <c r="B107" s="434" t="s">
        <v>731</v>
      </c>
      <c r="C107" s="13" t="s">
        <v>89</v>
      </c>
      <c r="D107" s="12">
        <v>6350</v>
      </c>
      <c r="E107" s="248"/>
      <c r="F107" s="248"/>
      <c r="G107" s="248"/>
      <c r="H107" s="248"/>
      <c r="I107" s="248"/>
      <c r="J107" s="297" t="s">
        <v>687</v>
      </c>
      <c r="K107" s="56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</row>
    <row r="108" spans="1:42" s="27" customFormat="1" outlineLevel="2" x14ac:dyDescent="0.25">
      <c r="A108" s="10"/>
      <c r="B108" s="22" t="s">
        <v>718</v>
      </c>
      <c r="C108" s="25" t="s">
        <v>89</v>
      </c>
      <c r="D108" s="17">
        <v>6985</v>
      </c>
      <c r="E108" s="251"/>
      <c r="F108" s="251"/>
      <c r="G108" s="251"/>
      <c r="H108" s="251"/>
      <c r="I108" s="251"/>
      <c r="J108" s="299" t="s">
        <v>224</v>
      </c>
      <c r="K108" s="56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</row>
    <row r="109" spans="1:42" s="27" customFormat="1" outlineLevel="1" x14ac:dyDescent="0.25">
      <c r="A109" s="10" t="s">
        <v>20</v>
      </c>
      <c r="B109" s="434" t="s">
        <v>730</v>
      </c>
      <c r="C109" s="13" t="s">
        <v>89</v>
      </c>
      <c r="D109" s="12">
        <v>126</v>
      </c>
      <c r="E109" s="248"/>
      <c r="F109" s="248"/>
      <c r="G109" s="248"/>
      <c r="H109" s="248"/>
      <c r="I109" s="248"/>
      <c r="J109" s="297" t="s">
        <v>687</v>
      </c>
      <c r="K109" s="56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</row>
    <row r="110" spans="1:42" s="27" customFormat="1" outlineLevel="2" x14ac:dyDescent="0.25">
      <c r="A110" s="10"/>
      <c r="B110" s="22" t="s">
        <v>718</v>
      </c>
      <c r="C110" s="25" t="s">
        <v>89</v>
      </c>
      <c r="D110" s="17">
        <v>138.6</v>
      </c>
      <c r="E110" s="251"/>
      <c r="F110" s="251"/>
      <c r="G110" s="251"/>
      <c r="H110" s="251"/>
      <c r="I110" s="251"/>
      <c r="J110" s="299" t="s">
        <v>224</v>
      </c>
      <c r="K110" s="56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</row>
    <row r="111" spans="1:42" s="27" customFormat="1" outlineLevel="1" x14ac:dyDescent="0.25">
      <c r="A111" s="10" t="s">
        <v>308</v>
      </c>
      <c r="B111" s="434" t="s">
        <v>729</v>
      </c>
      <c r="C111" s="13" t="s">
        <v>89</v>
      </c>
      <c r="D111" s="12">
        <v>336</v>
      </c>
      <c r="E111" s="248"/>
      <c r="F111" s="248"/>
      <c r="G111" s="248"/>
      <c r="H111" s="248"/>
      <c r="I111" s="248"/>
      <c r="J111" s="297" t="s">
        <v>687</v>
      </c>
      <c r="K111" s="56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</row>
    <row r="112" spans="1:42" s="27" customFormat="1" outlineLevel="2" x14ac:dyDescent="0.25">
      <c r="A112" s="10"/>
      <c r="B112" s="22" t="s">
        <v>719</v>
      </c>
      <c r="C112" s="25" t="s">
        <v>89</v>
      </c>
      <c r="D112" s="17">
        <v>369.6</v>
      </c>
      <c r="E112" s="19"/>
      <c r="F112" s="19"/>
      <c r="G112" s="19"/>
      <c r="H112" s="19"/>
      <c r="I112" s="19"/>
      <c r="J112" s="299" t="s">
        <v>220</v>
      </c>
      <c r="K112" s="56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</row>
    <row r="113" spans="1:42" s="27" customFormat="1" ht="25.5" outlineLevel="1" x14ac:dyDescent="0.25">
      <c r="A113" s="10" t="s">
        <v>311</v>
      </c>
      <c r="B113" s="434" t="s">
        <v>721</v>
      </c>
      <c r="C113" s="13" t="s">
        <v>89</v>
      </c>
      <c r="D113" s="12">
        <v>446</v>
      </c>
      <c r="E113" s="26"/>
      <c r="F113" s="26"/>
      <c r="G113" s="26"/>
      <c r="H113" s="26"/>
      <c r="I113" s="26"/>
      <c r="J113" s="297" t="s">
        <v>228</v>
      </c>
      <c r="K113" s="56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</row>
    <row r="114" spans="1:42" s="27" customFormat="1" outlineLevel="2" x14ac:dyDescent="0.25">
      <c r="A114" s="10"/>
      <c r="B114" s="22" t="s">
        <v>722</v>
      </c>
      <c r="C114" s="25" t="s">
        <v>89</v>
      </c>
      <c r="D114" s="17">
        <v>490.6</v>
      </c>
      <c r="E114" s="26"/>
      <c r="F114" s="26"/>
      <c r="G114" s="26"/>
      <c r="H114" s="26"/>
      <c r="I114" s="26"/>
      <c r="J114" s="299" t="s">
        <v>220</v>
      </c>
      <c r="K114" s="56"/>
      <c r="L114" s="180">
        <f>(3.14*501*501)/10000</f>
        <v>78.814313999999996</v>
      </c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</row>
    <row r="115" spans="1:42" s="27" customFormat="1" outlineLevel="1" x14ac:dyDescent="0.25">
      <c r="A115" s="10" t="s">
        <v>315</v>
      </c>
      <c r="B115" s="434" t="s">
        <v>229</v>
      </c>
      <c r="C115" s="13" t="s">
        <v>0</v>
      </c>
      <c r="D115" s="12">
        <f>D116</f>
        <v>122</v>
      </c>
      <c r="E115" s="26"/>
      <c r="F115" s="26"/>
      <c r="G115" s="26"/>
      <c r="H115" s="26"/>
      <c r="I115" s="26"/>
      <c r="J115" s="297"/>
      <c r="K115" s="56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</row>
    <row r="116" spans="1:42" s="27" customFormat="1" ht="25.5" outlineLevel="2" x14ac:dyDescent="0.25">
      <c r="A116" s="15"/>
      <c r="B116" s="22" t="s">
        <v>230</v>
      </c>
      <c r="C116" s="25" t="s">
        <v>0</v>
      </c>
      <c r="D116" s="17">
        <v>122</v>
      </c>
      <c r="E116" s="19"/>
      <c r="F116" s="19"/>
      <c r="G116" s="19"/>
      <c r="H116" s="19"/>
      <c r="I116" s="19"/>
      <c r="J116" s="299"/>
      <c r="K116" s="56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</row>
    <row r="117" spans="1:42" s="27" customFormat="1" outlineLevel="1" x14ac:dyDescent="0.25">
      <c r="A117" s="10" t="s">
        <v>319</v>
      </c>
      <c r="B117" s="434" t="s">
        <v>737</v>
      </c>
      <c r="C117" s="13" t="s">
        <v>60</v>
      </c>
      <c r="D117" s="13">
        <v>237</v>
      </c>
      <c r="E117" s="19"/>
      <c r="F117" s="19"/>
      <c r="G117" s="19"/>
      <c r="H117" s="19"/>
      <c r="I117" s="19"/>
      <c r="J117" s="294"/>
      <c r="K117" s="56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</row>
    <row r="118" spans="1:42" s="27" customFormat="1" ht="25.5" outlineLevel="2" x14ac:dyDescent="0.25">
      <c r="A118" s="15"/>
      <c r="B118" s="22" t="s">
        <v>232</v>
      </c>
      <c r="C118" s="25" t="s">
        <v>60</v>
      </c>
      <c r="D118" s="25">
        <v>237</v>
      </c>
      <c r="E118" s="19"/>
      <c r="F118" s="19"/>
      <c r="G118" s="19"/>
      <c r="H118" s="19"/>
      <c r="I118" s="19"/>
      <c r="J118" s="294" t="s">
        <v>233</v>
      </c>
      <c r="K118" s="56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</row>
    <row r="119" spans="1:42" s="27" customFormat="1" outlineLevel="1" x14ac:dyDescent="0.25">
      <c r="A119" s="10" t="s">
        <v>322</v>
      </c>
      <c r="B119" s="434" t="s">
        <v>736</v>
      </c>
      <c r="C119" s="13" t="s">
        <v>89</v>
      </c>
      <c r="D119" s="12">
        <v>6235</v>
      </c>
      <c r="E119" s="26"/>
      <c r="F119" s="26"/>
      <c r="G119" s="26"/>
      <c r="H119" s="26"/>
      <c r="I119" s="26"/>
      <c r="J119" s="210" t="s">
        <v>687</v>
      </c>
      <c r="K119" s="56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</row>
    <row r="120" spans="1:42" s="27" customFormat="1" outlineLevel="2" x14ac:dyDescent="0.25">
      <c r="A120" s="10"/>
      <c r="B120" s="22" t="s">
        <v>720</v>
      </c>
      <c r="C120" s="25" t="s">
        <v>89</v>
      </c>
      <c r="D120" s="17">
        <v>6858.5</v>
      </c>
      <c r="E120" s="19"/>
      <c r="F120" s="19"/>
      <c r="G120" s="19"/>
      <c r="H120" s="19"/>
      <c r="I120" s="19"/>
      <c r="J120" s="293" t="s">
        <v>220</v>
      </c>
      <c r="K120" s="56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</row>
    <row r="121" spans="1:42" s="27" customFormat="1" outlineLevel="1" x14ac:dyDescent="0.25">
      <c r="A121" s="10" t="s">
        <v>325</v>
      </c>
      <c r="B121" s="434" t="s">
        <v>723</v>
      </c>
      <c r="C121" s="13" t="s">
        <v>89</v>
      </c>
      <c r="D121" s="12">
        <v>126</v>
      </c>
      <c r="E121" s="26"/>
      <c r="F121" s="26"/>
      <c r="G121" s="26"/>
      <c r="H121" s="26"/>
      <c r="I121" s="26"/>
      <c r="J121" s="210" t="s">
        <v>687</v>
      </c>
      <c r="K121" s="56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</row>
    <row r="122" spans="1:42" s="27" customFormat="1" outlineLevel="2" x14ac:dyDescent="0.25">
      <c r="A122" s="10"/>
      <c r="B122" s="22" t="s">
        <v>720</v>
      </c>
      <c r="C122" s="25" t="s">
        <v>89</v>
      </c>
      <c r="D122" s="17">
        <v>138.6</v>
      </c>
      <c r="E122" s="19"/>
      <c r="F122" s="19"/>
      <c r="G122" s="19"/>
      <c r="H122" s="19"/>
      <c r="I122" s="19"/>
      <c r="J122" s="293" t="s">
        <v>220</v>
      </c>
      <c r="K122" s="56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</row>
    <row r="123" spans="1:42" s="27" customFormat="1" outlineLevel="1" x14ac:dyDescent="0.25">
      <c r="A123" s="10" t="s">
        <v>328</v>
      </c>
      <c r="B123" s="434" t="s">
        <v>724</v>
      </c>
      <c r="C123" s="13" t="s">
        <v>89</v>
      </c>
      <c r="D123" s="12">
        <v>336</v>
      </c>
      <c r="E123" s="26"/>
      <c r="F123" s="26"/>
      <c r="G123" s="26"/>
      <c r="H123" s="26"/>
      <c r="I123" s="26"/>
      <c r="J123" s="210" t="s">
        <v>687</v>
      </c>
      <c r="K123" s="56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</row>
    <row r="124" spans="1:42" s="27" customFormat="1" outlineLevel="2" x14ac:dyDescent="0.25">
      <c r="A124" s="10"/>
      <c r="B124" s="22" t="s">
        <v>720</v>
      </c>
      <c r="C124" s="25" t="s">
        <v>89</v>
      </c>
      <c r="D124" s="17">
        <v>369.6</v>
      </c>
      <c r="E124" s="19"/>
      <c r="F124" s="19"/>
      <c r="G124" s="19"/>
      <c r="H124" s="19"/>
      <c r="I124" s="19"/>
      <c r="J124" s="293" t="s">
        <v>220</v>
      </c>
      <c r="K124" s="56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</row>
    <row r="125" spans="1:42" s="27" customFormat="1" outlineLevel="1" x14ac:dyDescent="0.25">
      <c r="A125" s="10" t="s">
        <v>363</v>
      </c>
      <c r="B125" s="434" t="s">
        <v>237</v>
      </c>
      <c r="C125" s="13" t="s">
        <v>60</v>
      </c>
      <c r="D125" s="12">
        <v>4658</v>
      </c>
      <c r="E125" s="26"/>
      <c r="F125" s="26"/>
      <c r="G125" s="26"/>
      <c r="H125" s="26"/>
      <c r="I125" s="26"/>
      <c r="J125" s="210"/>
      <c r="K125" s="56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</row>
    <row r="126" spans="1:42" s="27" customFormat="1" outlineLevel="2" x14ac:dyDescent="0.25">
      <c r="A126" s="10"/>
      <c r="B126" s="22" t="s">
        <v>238</v>
      </c>
      <c r="C126" s="25" t="s">
        <v>239</v>
      </c>
      <c r="D126" s="17" t="s">
        <v>240</v>
      </c>
      <c r="E126" s="19"/>
      <c r="F126" s="19"/>
      <c r="G126" s="19"/>
      <c r="H126" s="26"/>
      <c r="I126" s="26"/>
      <c r="J126" s="210"/>
      <c r="K126" s="56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</row>
    <row r="127" spans="1:42" s="27" customFormat="1" outlineLevel="1" x14ac:dyDescent="0.25">
      <c r="A127" s="10" t="s">
        <v>367</v>
      </c>
      <c r="B127" s="434" t="s">
        <v>241</v>
      </c>
      <c r="C127" s="13" t="s">
        <v>89</v>
      </c>
      <c r="D127" s="12">
        <v>453</v>
      </c>
      <c r="E127" s="26"/>
      <c r="F127" s="26"/>
      <c r="G127" s="26"/>
      <c r="H127" s="26"/>
      <c r="I127" s="26"/>
      <c r="J127" s="210"/>
      <c r="K127" s="56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</row>
    <row r="128" spans="1:42" s="27" customFormat="1" outlineLevel="2" x14ac:dyDescent="0.25">
      <c r="A128" s="10"/>
      <c r="B128" s="22" t="s">
        <v>242</v>
      </c>
      <c r="C128" s="25" t="s">
        <v>89</v>
      </c>
      <c r="D128" s="17">
        <v>498.3</v>
      </c>
      <c r="E128" s="19"/>
      <c r="F128" s="26"/>
      <c r="G128" s="26"/>
      <c r="H128" s="26"/>
      <c r="I128" s="26"/>
      <c r="J128" s="293" t="s">
        <v>220</v>
      </c>
      <c r="K128" s="56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</row>
    <row r="129" spans="1:42" s="27" customFormat="1" ht="25.5" outlineLevel="1" x14ac:dyDescent="0.25">
      <c r="A129" s="10" t="s">
        <v>370</v>
      </c>
      <c r="B129" s="434" t="s">
        <v>243</v>
      </c>
      <c r="C129" s="13" t="s">
        <v>60</v>
      </c>
      <c r="D129" s="12">
        <v>135</v>
      </c>
      <c r="E129" s="26"/>
      <c r="F129" s="26"/>
      <c r="G129" s="26"/>
      <c r="H129" s="26"/>
      <c r="I129" s="26"/>
      <c r="J129" s="210"/>
      <c r="K129" s="56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</row>
    <row r="130" spans="1:42" s="27" customFormat="1" outlineLevel="2" x14ac:dyDescent="0.25">
      <c r="A130" s="10"/>
      <c r="B130" s="22" t="s">
        <v>244</v>
      </c>
      <c r="C130" s="25" t="s">
        <v>245</v>
      </c>
      <c r="D130" s="17" t="s">
        <v>246</v>
      </c>
      <c r="E130" s="26"/>
      <c r="F130" s="26"/>
      <c r="G130" s="26"/>
      <c r="H130" s="26"/>
      <c r="I130" s="26"/>
      <c r="J130" s="293" t="s">
        <v>247</v>
      </c>
      <c r="K130" s="56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</row>
    <row r="131" spans="1:42" s="27" customFormat="1" outlineLevel="1" x14ac:dyDescent="0.25">
      <c r="A131" s="245" t="s">
        <v>373</v>
      </c>
      <c r="B131" s="434" t="s">
        <v>248</v>
      </c>
      <c r="C131" s="13" t="s">
        <v>249</v>
      </c>
      <c r="D131" s="10" t="s">
        <v>250</v>
      </c>
      <c r="E131" s="26"/>
      <c r="F131" s="26"/>
      <c r="G131" s="26"/>
      <c r="H131" s="26"/>
      <c r="I131" s="26"/>
      <c r="J131" s="210"/>
      <c r="K131" s="56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</row>
    <row r="132" spans="1:42" s="27" customFormat="1" outlineLevel="2" x14ac:dyDescent="0.25">
      <c r="A132" s="333"/>
      <c r="B132" s="22" t="s">
        <v>251</v>
      </c>
      <c r="C132" s="25" t="s">
        <v>0</v>
      </c>
      <c r="D132" s="25">
        <v>299</v>
      </c>
      <c r="E132" s="19"/>
      <c r="F132" s="19"/>
      <c r="G132" s="19"/>
      <c r="H132" s="19"/>
      <c r="I132" s="19"/>
      <c r="J132" s="19"/>
      <c r="K132" s="56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</row>
    <row r="133" spans="1:42" s="27" customFormat="1" outlineLevel="1" x14ac:dyDescent="0.25">
      <c r="A133" s="245" t="s">
        <v>584</v>
      </c>
      <c r="B133" s="434" t="s">
        <v>253</v>
      </c>
      <c r="C133" s="13" t="s">
        <v>60</v>
      </c>
      <c r="D133" s="13">
        <v>306</v>
      </c>
      <c r="E133" s="26"/>
      <c r="F133" s="26"/>
      <c r="G133" s="26"/>
      <c r="H133" s="26"/>
      <c r="I133" s="26"/>
      <c r="J133" s="210"/>
      <c r="K133" s="56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</row>
    <row r="134" spans="1:42" s="27" customFormat="1" outlineLevel="2" x14ac:dyDescent="0.25">
      <c r="A134" s="245"/>
      <c r="B134" s="22" t="s">
        <v>254</v>
      </c>
      <c r="C134" s="25" t="s">
        <v>0</v>
      </c>
      <c r="D134" s="17">
        <v>2.2999999999999998</v>
      </c>
      <c r="E134" s="26"/>
      <c r="F134" s="26"/>
      <c r="G134" s="26"/>
      <c r="H134" s="26"/>
      <c r="I134" s="26"/>
      <c r="J134" s="210"/>
      <c r="K134" s="56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</row>
    <row r="135" spans="1:42" s="27" customFormat="1" ht="25.5" outlineLevel="1" x14ac:dyDescent="0.25">
      <c r="A135" s="245" t="s">
        <v>585</v>
      </c>
      <c r="B135" s="434" t="s">
        <v>255</v>
      </c>
      <c r="C135" s="13" t="s">
        <v>249</v>
      </c>
      <c r="D135" s="13" t="s">
        <v>680</v>
      </c>
      <c r="E135" s="26"/>
      <c r="F135" s="26"/>
      <c r="G135" s="26"/>
      <c r="H135" s="26"/>
      <c r="I135" s="26"/>
      <c r="J135" s="210"/>
      <c r="K135" s="56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</row>
    <row r="136" spans="1:42" s="27" customFormat="1" outlineLevel="2" x14ac:dyDescent="0.25">
      <c r="A136" s="333"/>
      <c r="B136" s="22" t="s">
        <v>251</v>
      </c>
      <c r="C136" s="25" t="s">
        <v>0</v>
      </c>
      <c r="D136" s="25">
        <v>3.78</v>
      </c>
      <c r="E136" s="19"/>
      <c r="F136" s="19"/>
      <c r="G136" s="19"/>
      <c r="H136" s="19"/>
      <c r="I136" s="19"/>
      <c r="J136" s="19"/>
      <c r="K136" s="56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</row>
    <row r="137" spans="1:42" s="27" customFormat="1" outlineLevel="1" x14ac:dyDescent="0.25">
      <c r="A137" s="245" t="s">
        <v>586</v>
      </c>
      <c r="B137" s="434" t="s">
        <v>257</v>
      </c>
      <c r="C137" s="13" t="s">
        <v>60</v>
      </c>
      <c r="D137" s="13">
        <v>305</v>
      </c>
      <c r="E137" s="26"/>
      <c r="F137" s="26"/>
      <c r="G137" s="26"/>
      <c r="H137" s="26"/>
      <c r="I137" s="26"/>
      <c r="J137" s="210"/>
      <c r="K137" s="56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</row>
    <row r="138" spans="1:42" s="27" customFormat="1" outlineLevel="2" x14ac:dyDescent="0.25">
      <c r="A138" s="351"/>
      <c r="B138" s="22" t="s">
        <v>251</v>
      </c>
      <c r="C138" s="25" t="s">
        <v>0</v>
      </c>
      <c r="D138" s="25">
        <v>0.76</v>
      </c>
      <c r="E138" s="26"/>
      <c r="F138" s="26"/>
      <c r="G138" s="26"/>
      <c r="H138" s="26"/>
      <c r="I138" s="26"/>
      <c r="J138" s="210"/>
      <c r="K138" s="56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</row>
    <row r="139" spans="1:42" s="180" customFormat="1" outlineLevel="1" x14ac:dyDescent="0.25">
      <c r="A139" s="245" t="s">
        <v>587</v>
      </c>
      <c r="B139" s="435" t="s">
        <v>728</v>
      </c>
      <c r="C139" s="345" t="s">
        <v>89</v>
      </c>
      <c r="D139" s="345">
        <v>170</v>
      </c>
      <c r="E139" s="248"/>
      <c r="F139" s="248"/>
      <c r="G139" s="248"/>
      <c r="H139" s="248"/>
      <c r="I139" s="248"/>
      <c r="J139" s="210" t="s">
        <v>687</v>
      </c>
      <c r="K139" s="56"/>
    </row>
    <row r="140" spans="1:42" s="180" customFormat="1" outlineLevel="2" x14ac:dyDescent="0.25">
      <c r="A140" s="245"/>
      <c r="B140" s="22" t="s">
        <v>720</v>
      </c>
      <c r="C140" s="25" t="s">
        <v>89</v>
      </c>
      <c r="D140" s="183">
        <f>D139*1.1</f>
        <v>187</v>
      </c>
      <c r="E140" s="251"/>
      <c r="F140" s="251"/>
      <c r="G140" s="251"/>
      <c r="H140" s="251"/>
      <c r="I140" s="251"/>
      <c r="J140" s="293" t="s">
        <v>220</v>
      </c>
      <c r="K140" s="65"/>
    </row>
    <row r="141" spans="1:42" s="63" customFormat="1" x14ac:dyDescent="0.25">
      <c r="A141" s="379" t="s">
        <v>98</v>
      </c>
      <c r="B141" s="422" t="s">
        <v>738</v>
      </c>
      <c r="C141" s="385" t="s">
        <v>45</v>
      </c>
      <c r="D141" s="386">
        <v>11</v>
      </c>
      <c r="E141" s="385"/>
      <c r="F141" s="385"/>
      <c r="G141" s="385"/>
      <c r="H141" s="385"/>
      <c r="I141" s="385"/>
      <c r="J141" s="385"/>
      <c r="K141" s="65"/>
      <c r="L141" s="338"/>
      <c r="M141" s="338"/>
      <c r="N141" s="338"/>
      <c r="O141" s="338"/>
      <c r="P141" s="338"/>
      <c r="Q141" s="338"/>
      <c r="R141" s="338"/>
      <c r="S141" s="338"/>
      <c r="T141" s="338"/>
      <c r="U141" s="338"/>
      <c r="V141" s="338"/>
      <c r="W141" s="338"/>
      <c r="X141" s="338"/>
      <c r="Y141" s="338"/>
      <c r="Z141" s="338"/>
      <c r="AA141" s="338"/>
      <c r="AB141" s="338"/>
      <c r="AC141" s="338"/>
      <c r="AD141" s="338"/>
      <c r="AE141" s="338"/>
      <c r="AF141" s="338"/>
      <c r="AG141" s="338"/>
      <c r="AH141" s="338"/>
      <c r="AI141" s="338"/>
      <c r="AJ141" s="338"/>
      <c r="AK141" s="338"/>
      <c r="AL141" s="338"/>
      <c r="AM141" s="338"/>
      <c r="AN141" s="338"/>
      <c r="AO141" s="338"/>
      <c r="AP141" s="338"/>
    </row>
    <row r="142" spans="1:42" s="27" customFormat="1" outlineLevel="1" x14ac:dyDescent="0.25">
      <c r="A142" s="333" t="s">
        <v>592</v>
      </c>
      <c r="B142" s="21" t="s">
        <v>274</v>
      </c>
      <c r="C142" s="23" t="s">
        <v>45</v>
      </c>
      <c r="D142" s="24">
        <v>11</v>
      </c>
      <c r="E142" s="26"/>
      <c r="F142" s="26"/>
      <c r="G142" s="26"/>
      <c r="H142" s="26"/>
      <c r="I142" s="26"/>
      <c r="J142" s="210"/>
      <c r="K142" s="805" t="s">
        <v>647</v>
      </c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</row>
    <row r="143" spans="1:42" s="27" customFormat="1" outlineLevel="2" x14ac:dyDescent="0.25">
      <c r="A143" s="351"/>
      <c r="B143" s="22" t="s">
        <v>275</v>
      </c>
      <c r="C143" s="25" t="s">
        <v>276</v>
      </c>
      <c r="D143" s="25">
        <v>11</v>
      </c>
      <c r="E143" s="19"/>
      <c r="F143" s="19"/>
      <c r="G143" s="19"/>
      <c r="H143" s="19"/>
      <c r="I143" s="19"/>
      <c r="J143" s="294" t="s">
        <v>277</v>
      </c>
      <c r="K143" s="806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</row>
    <row r="144" spans="1:42" s="27" customFormat="1" outlineLevel="2" x14ac:dyDescent="0.25">
      <c r="A144" s="351"/>
      <c r="B144" s="22" t="s">
        <v>278</v>
      </c>
      <c r="C144" s="25" t="s">
        <v>276</v>
      </c>
      <c r="D144" s="17">
        <v>11</v>
      </c>
      <c r="E144" s="19"/>
      <c r="F144" s="19"/>
      <c r="G144" s="19"/>
      <c r="H144" s="19"/>
      <c r="I144" s="19"/>
      <c r="J144" s="294" t="s">
        <v>279</v>
      </c>
      <c r="K144" s="807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</row>
    <row r="145" spans="1:42" s="27" customFormat="1" outlineLevel="1" x14ac:dyDescent="0.25">
      <c r="A145" s="333" t="s">
        <v>594</v>
      </c>
      <c r="B145" s="21" t="s">
        <v>285</v>
      </c>
      <c r="C145" s="23" t="s">
        <v>276</v>
      </c>
      <c r="D145" s="24">
        <v>11</v>
      </c>
      <c r="E145" s="19"/>
      <c r="F145" s="19"/>
      <c r="G145" s="19"/>
      <c r="H145" s="19"/>
      <c r="I145" s="19"/>
      <c r="J145" s="294"/>
      <c r="K145" s="805" t="s">
        <v>648</v>
      </c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</row>
    <row r="146" spans="1:42" s="27" customFormat="1" outlineLevel="2" x14ac:dyDescent="0.25">
      <c r="A146" s="351"/>
      <c r="B146" s="22" t="s">
        <v>286</v>
      </c>
      <c r="C146" s="25" t="s">
        <v>92</v>
      </c>
      <c r="D146" s="25">
        <v>1.7</v>
      </c>
      <c r="E146" s="19"/>
      <c r="F146" s="19"/>
      <c r="G146" s="19"/>
      <c r="H146" s="19"/>
      <c r="I146" s="19"/>
      <c r="J146" s="294" t="s">
        <v>287</v>
      </c>
      <c r="K146" s="806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</row>
    <row r="147" spans="1:42" s="27" customFormat="1" outlineLevel="2" x14ac:dyDescent="0.25">
      <c r="A147" s="351"/>
      <c r="B147" s="22" t="s">
        <v>288</v>
      </c>
      <c r="C147" s="25" t="s">
        <v>92</v>
      </c>
      <c r="D147" s="25">
        <v>5.0999999999999996</v>
      </c>
      <c r="E147" s="19"/>
      <c r="F147" s="19"/>
      <c r="G147" s="19"/>
      <c r="H147" s="19"/>
      <c r="I147" s="19"/>
      <c r="J147" s="294" t="s">
        <v>289</v>
      </c>
      <c r="K147" s="807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</row>
    <row r="148" spans="1:42" s="27" customFormat="1" outlineLevel="1" x14ac:dyDescent="0.25">
      <c r="A148" s="333" t="s">
        <v>595</v>
      </c>
      <c r="B148" s="21" t="s">
        <v>290</v>
      </c>
      <c r="C148" s="23" t="s">
        <v>60</v>
      </c>
      <c r="D148" s="23">
        <v>31.4</v>
      </c>
      <c r="E148" s="26"/>
      <c r="F148" s="26"/>
      <c r="G148" s="26"/>
      <c r="H148" s="26"/>
      <c r="I148" s="26"/>
      <c r="J148" s="210"/>
      <c r="K148" s="56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</row>
    <row r="149" spans="1:42" s="27" customFormat="1" outlineLevel="2" x14ac:dyDescent="0.25">
      <c r="A149" s="351"/>
      <c r="B149" s="22" t="s">
        <v>291</v>
      </c>
      <c r="C149" s="25" t="s">
        <v>60</v>
      </c>
      <c r="D149" s="25">
        <v>31.4</v>
      </c>
      <c r="E149" s="19"/>
      <c r="F149" s="19"/>
      <c r="G149" s="19"/>
      <c r="H149" s="19"/>
      <c r="I149" s="19"/>
      <c r="J149" s="294" t="s">
        <v>292</v>
      </c>
      <c r="K149" s="56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</row>
    <row r="150" spans="1:42" s="27" customFormat="1" outlineLevel="2" x14ac:dyDescent="0.25">
      <c r="A150" s="351"/>
      <c r="B150" s="22" t="s">
        <v>293</v>
      </c>
      <c r="C150" s="25" t="s">
        <v>0</v>
      </c>
      <c r="D150" s="17">
        <v>307</v>
      </c>
      <c r="E150" s="19"/>
      <c r="F150" s="19"/>
      <c r="G150" s="19"/>
      <c r="H150" s="19"/>
      <c r="I150" s="19"/>
      <c r="J150" s="294"/>
      <c r="K150" s="56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</row>
    <row r="151" spans="1:42" s="27" customFormat="1" outlineLevel="2" x14ac:dyDescent="0.25">
      <c r="A151" s="351"/>
      <c r="B151" s="22" t="s">
        <v>294</v>
      </c>
      <c r="C151" s="25" t="s">
        <v>295</v>
      </c>
      <c r="D151" s="17">
        <v>1.86</v>
      </c>
      <c r="E151" s="19"/>
      <c r="F151" s="19"/>
      <c r="G151" s="19"/>
      <c r="H151" s="19"/>
      <c r="I151" s="19"/>
      <c r="J151" s="294" t="s">
        <v>296</v>
      </c>
      <c r="K151" s="56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</row>
    <row r="152" spans="1:42" s="63" customFormat="1" x14ac:dyDescent="0.25">
      <c r="A152" s="379" t="s">
        <v>46</v>
      </c>
      <c r="B152" s="380" t="s">
        <v>678</v>
      </c>
      <c r="C152" s="385" t="s">
        <v>573</v>
      </c>
      <c r="D152" s="386">
        <v>1</v>
      </c>
      <c r="E152" s="381"/>
      <c r="F152" s="381"/>
      <c r="G152" s="381"/>
      <c r="H152" s="381"/>
      <c r="I152" s="381"/>
      <c r="J152" s="387"/>
      <c r="K152" s="65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  <c r="AP152" s="338"/>
    </row>
    <row r="153" spans="1:42" s="338" customFormat="1" outlineLevel="1" x14ac:dyDescent="0.25">
      <c r="A153" s="120" t="s">
        <v>377</v>
      </c>
      <c r="B153" s="130" t="s">
        <v>679</v>
      </c>
      <c r="C153" s="138" t="s">
        <v>45</v>
      </c>
      <c r="D153" s="348">
        <v>2</v>
      </c>
      <c r="E153" s="388"/>
      <c r="F153" s="389"/>
      <c r="G153" s="389"/>
      <c r="H153" s="389"/>
      <c r="I153" s="390"/>
      <c r="J153" s="300"/>
      <c r="K153" s="337"/>
    </row>
    <row r="154" spans="1:42" s="27" customFormat="1" ht="25.5" customHeight="1" outlineLevel="2" x14ac:dyDescent="0.25">
      <c r="A154" s="333"/>
      <c r="B154" s="21" t="s">
        <v>298</v>
      </c>
      <c r="C154" s="23" t="s">
        <v>45</v>
      </c>
      <c r="D154" s="24">
        <v>2</v>
      </c>
      <c r="E154" s="248"/>
      <c r="F154" s="248"/>
      <c r="G154" s="248"/>
      <c r="H154" s="248"/>
      <c r="I154" s="248"/>
      <c r="J154" s="210"/>
      <c r="K154" s="56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</row>
    <row r="155" spans="1:42" s="27" customFormat="1" ht="25.5" outlineLevel="2" x14ac:dyDescent="0.25">
      <c r="A155" s="351"/>
      <c r="B155" s="22" t="s">
        <v>299</v>
      </c>
      <c r="C155" s="25" t="s">
        <v>45</v>
      </c>
      <c r="D155" s="17">
        <v>2</v>
      </c>
      <c r="E155" s="248"/>
      <c r="F155" s="248"/>
      <c r="G155" s="248"/>
      <c r="H155" s="248"/>
      <c r="I155" s="248"/>
      <c r="J155" s="294"/>
      <c r="K155" s="56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</row>
    <row r="156" spans="1:42" s="27" customFormat="1" outlineLevel="2" x14ac:dyDescent="0.25">
      <c r="A156" s="333"/>
      <c r="B156" s="21" t="s">
        <v>300</v>
      </c>
      <c r="C156" s="23" t="s">
        <v>45</v>
      </c>
      <c r="D156" s="24">
        <v>2</v>
      </c>
      <c r="E156" s="248"/>
      <c r="F156" s="248"/>
      <c r="G156" s="248"/>
      <c r="H156" s="248"/>
      <c r="I156" s="248"/>
      <c r="J156" s="210"/>
      <c r="K156" s="56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</row>
    <row r="157" spans="1:42" s="27" customFormat="1" ht="25.5" outlineLevel="2" x14ac:dyDescent="0.25">
      <c r="A157" s="351"/>
      <c r="B157" s="22" t="s">
        <v>301</v>
      </c>
      <c r="C157" s="25" t="s">
        <v>45</v>
      </c>
      <c r="D157" s="17">
        <v>2</v>
      </c>
      <c r="E157" s="248"/>
      <c r="F157" s="248"/>
      <c r="G157" s="248"/>
      <c r="H157" s="248"/>
      <c r="I157" s="248"/>
      <c r="J157" s="294"/>
      <c r="K157" s="56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</row>
    <row r="158" spans="1:42" s="27" customFormat="1" outlineLevel="2" x14ac:dyDescent="0.25">
      <c r="A158" s="333"/>
      <c r="B158" s="21" t="s">
        <v>302</v>
      </c>
      <c r="C158" s="23" t="s">
        <v>276</v>
      </c>
      <c r="D158" s="23">
        <v>4</v>
      </c>
      <c r="E158" s="248"/>
      <c r="F158" s="248"/>
      <c r="G158" s="248"/>
      <c r="H158" s="248"/>
      <c r="I158" s="248"/>
      <c r="J158" s="210"/>
      <c r="K158" s="56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</row>
    <row r="159" spans="1:42" s="27" customFormat="1" outlineLevel="2" x14ac:dyDescent="0.25">
      <c r="A159" s="351"/>
      <c r="B159" s="22" t="s">
        <v>303</v>
      </c>
      <c r="C159" s="25" t="s">
        <v>60</v>
      </c>
      <c r="D159" s="64">
        <v>10</v>
      </c>
      <c r="E159" s="248"/>
      <c r="F159" s="248"/>
      <c r="G159" s="248"/>
      <c r="H159" s="248"/>
      <c r="I159" s="248"/>
      <c r="J159" s="294"/>
      <c r="K159" s="56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</row>
    <row r="160" spans="1:42" s="27" customFormat="1" outlineLevel="2" x14ac:dyDescent="0.25">
      <c r="A160" s="333"/>
      <c r="B160" s="21" t="s">
        <v>304</v>
      </c>
      <c r="C160" s="23" t="s">
        <v>45</v>
      </c>
      <c r="D160" s="24">
        <v>2</v>
      </c>
      <c r="E160" s="248"/>
      <c r="F160" s="248"/>
      <c r="G160" s="248"/>
      <c r="H160" s="248"/>
      <c r="I160" s="248"/>
      <c r="J160" s="210"/>
      <c r="K160" s="56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</row>
    <row r="161" spans="1:42" s="27" customFormat="1" outlineLevel="2" x14ac:dyDescent="0.25">
      <c r="A161" s="351"/>
      <c r="B161" s="22" t="s">
        <v>305</v>
      </c>
      <c r="C161" s="25" t="s">
        <v>45</v>
      </c>
      <c r="D161" s="17">
        <v>2</v>
      </c>
      <c r="E161" s="248"/>
      <c r="F161" s="248"/>
      <c r="G161" s="248"/>
      <c r="H161" s="248"/>
      <c r="I161" s="248"/>
      <c r="J161" s="294"/>
      <c r="K161" s="56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</row>
    <row r="162" spans="1:42" s="27" customFormat="1" outlineLevel="2" x14ac:dyDescent="0.25">
      <c r="A162" s="333"/>
      <c r="B162" s="21" t="s">
        <v>306</v>
      </c>
      <c r="C162" s="23" t="s">
        <v>45</v>
      </c>
      <c r="D162" s="24">
        <v>2</v>
      </c>
      <c r="E162" s="248"/>
      <c r="F162" s="248"/>
      <c r="G162" s="248"/>
      <c r="H162" s="248"/>
      <c r="I162" s="248"/>
      <c r="J162" s="210"/>
      <c r="K162" s="56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</row>
    <row r="163" spans="1:42" s="27" customFormat="1" outlineLevel="2" x14ac:dyDescent="0.25">
      <c r="A163" s="333"/>
      <c r="B163" s="22" t="s">
        <v>307</v>
      </c>
      <c r="C163" s="25" t="s">
        <v>276</v>
      </c>
      <c r="D163" s="17">
        <v>2</v>
      </c>
      <c r="E163" s="248"/>
      <c r="F163" s="248"/>
      <c r="G163" s="248"/>
      <c r="H163" s="248"/>
      <c r="I163" s="248"/>
      <c r="J163" s="210"/>
      <c r="K163" s="56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</row>
    <row r="164" spans="1:42" s="27" customFormat="1" outlineLevel="2" x14ac:dyDescent="0.25">
      <c r="A164" s="333"/>
      <c r="B164" s="21" t="s">
        <v>309</v>
      </c>
      <c r="C164" s="23" t="s">
        <v>45</v>
      </c>
      <c r="D164" s="24">
        <v>11</v>
      </c>
      <c r="E164" s="248"/>
      <c r="F164" s="248"/>
      <c r="G164" s="248"/>
      <c r="H164" s="248"/>
      <c r="I164" s="248"/>
      <c r="J164" s="210"/>
      <c r="K164" s="56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</row>
    <row r="165" spans="1:42" s="27" customFormat="1" outlineLevel="2" x14ac:dyDescent="0.25">
      <c r="A165" s="333"/>
      <c r="B165" s="22" t="s">
        <v>310</v>
      </c>
      <c r="C165" s="25" t="s">
        <v>276</v>
      </c>
      <c r="D165" s="17">
        <v>11</v>
      </c>
      <c r="E165" s="248"/>
      <c r="F165" s="248"/>
      <c r="G165" s="248"/>
      <c r="H165" s="248"/>
      <c r="I165" s="248"/>
      <c r="J165" s="210"/>
      <c r="K165" s="56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</row>
    <row r="166" spans="1:42" s="27" customFormat="1" outlineLevel="2" x14ac:dyDescent="0.25">
      <c r="A166" s="333"/>
      <c r="B166" s="21" t="s">
        <v>312</v>
      </c>
      <c r="C166" s="23" t="s">
        <v>45</v>
      </c>
      <c r="D166" s="24">
        <v>4</v>
      </c>
      <c r="E166" s="248"/>
      <c r="F166" s="248"/>
      <c r="G166" s="248"/>
      <c r="H166" s="248"/>
      <c r="I166" s="248"/>
      <c r="J166" s="210"/>
      <c r="K166" s="56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</row>
    <row r="167" spans="1:42" s="27" customFormat="1" outlineLevel="2" x14ac:dyDescent="0.25">
      <c r="A167" s="351"/>
      <c r="B167" s="22" t="s">
        <v>313</v>
      </c>
      <c r="C167" s="25" t="s">
        <v>45</v>
      </c>
      <c r="D167" s="17">
        <v>9</v>
      </c>
      <c r="E167" s="248"/>
      <c r="F167" s="248"/>
      <c r="G167" s="248"/>
      <c r="H167" s="248"/>
      <c r="I167" s="248"/>
      <c r="J167" s="294" t="s">
        <v>314</v>
      </c>
      <c r="K167" s="56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</row>
    <row r="168" spans="1:42" s="27" customFormat="1" outlineLevel="2" x14ac:dyDescent="0.25">
      <c r="A168" s="333"/>
      <c r="B168" s="21" t="s">
        <v>316</v>
      </c>
      <c r="C168" s="23" t="s">
        <v>45</v>
      </c>
      <c r="D168" s="24">
        <v>1</v>
      </c>
      <c r="E168" s="248"/>
      <c r="F168" s="248"/>
      <c r="G168" s="248"/>
      <c r="H168" s="248"/>
      <c r="I168" s="248"/>
      <c r="J168" s="210"/>
      <c r="K168" s="56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</row>
    <row r="169" spans="1:42" s="27" customFormat="1" outlineLevel="2" x14ac:dyDescent="0.25">
      <c r="A169" s="351"/>
      <c r="B169" s="22" t="s">
        <v>317</v>
      </c>
      <c r="C169" s="25" t="s">
        <v>45</v>
      </c>
      <c r="D169" s="17">
        <v>4</v>
      </c>
      <c r="E169" s="248"/>
      <c r="F169" s="248"/>
      <c r="G169" s="248"/>
      <c r="H169" s="248"/>
      <c r="I169" s="248"/>
      <c r="J169" s="294"/>
      <c r="K169" s="56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</row>
    <row r="170" spans="1:42" s="27" customFormat="1" outlineLevel="2" x14ac:dyDescent="0.25">
      <c r="A170" s="351"/>
      <c r="B170" s="22" t="s">
        <v>318</v>
      </c>
      <c r="C170" s="25" t="s">
        <v>45</v>
      </c>
      <c r="D170" s="17">
        <v>1</v>
      </c>
      <c r="E170" s="248"/>
      <c r="F170" s="248"/>
      <c r="G170" s="248"/>
      <c r="H170" s="248"/>
      <c r="I170" s="248"/>
      <c r="J170" s="294"/>
      <c r="K170" s="56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</row>
    <row r="171" spans="1:42" s="27" customFormat="1" outlineLevel="2" x14ac:dyDescent="0.25">
      <c r="A171" s="333"/>
      <c r="B171" s="21" t="s">
        <v>320</v>
      </c>
      <c r="C171" s="23" t="s">
        <v>45</v>
      </c>
      <c r="D171" s="24">
        <v>1</v>
      </c>
      <c r="E171" s="248"/>
      <c r="F171" s="248"/>
      <c r="G171" s="248"/>
      <c r="H171" s="248"/>
      <c r="I171" s="248"/>
      <c r="J171" s="210"/>
      <c r="K171" s="56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</row>
    <row r="172" spans="1:42" s="27" customFormat="1" outlineLevel="2" x14ac:dyDescent="0.25">
      <c r="A172" s="333"/>
      <c r="B172" s="22" t="s">
        <v>321</v>
      </c>
      <c r="C172" s="25" t="s">
        <v>276</v>
      </c>
      <c r="D172" s="17">
        <v>1</v>
      </c>
      <c r="E172" s="248"/>
      <c r="F172" s="248"/>
      <c r="G172" s="248"/>
      <c r="H172" s="248"/>
      <c r="I172" s="248"/>
      <c r="J172" s="210"/>
      <c r="K172" s="56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</row>
    <row r="173" spans="1:42" s="27" customFormat="1" outlineLevel="2" x14ac:dyDescent="0.25">
      <c r="A173" s="333"/>
      <c r="B173" s="21" t="s">
        <v>323</v>
      </c>
      <c r="C173" s="23" t="s">
        <v>45</v>
      </c>
      <c r="D173" s="24">
        <v>4</v>
      </c>
      <c r="E173" s="248"/>
      <c r="F173" s="248"/>
      <c r="G173" s="248"/>
      <c r="H173" s="248"/>
      <c r="I173" s="248"/>
      <c r="J173" s="210"/>
      <c r="K173" s="56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</row>
    <row r="174" spans="1:42" s="27" customFormat="1" outlineLevel="2" x14ac:dyDescent="0.25">
      <c r="A174" s="351"/>
      <c r="B174" s="22" t="s">
        <v>324</v>
      </c>
      <c r="C174" s="25" t="s">
        <v>45</v>
      </c>
      <c r="D174" s="17">
        <v>4</v>
      </c>
      <c r="E174" s="248"/>
      <c r="F174" s="248"/>
      <c r="G174" s="248"/>
      <c r="H174" s="248"/>
      <c r="I174" s="248"/>
      <c r="J174" s="294"/>
      <c r="K174" s="56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</row>
    <row r="175" spans="1:42" s="27" customFormat="1" outlineLevel="2" x14ac:dyDescent="0.25">
      <c r="A175" s="333"/>
      <c r="B175" s="21" t="s">
        <v>326</v>
      </c>
      <c r="C175" s="23" t="s">
        <v>45</v>
      </c>
      <c r="D175" s="24">
        <v>2</v>
      </c>
      <c r="E175" s="248"/>
      <c r="F175" s="248"/>
      <c r="G175" s="248"/>
      <c r="H175" s="248"/>
      <c r="I175" s="248"/>
      <c r="J175" s="210"/>
      <c r="K175" s="56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</row>
    <row r="176" spans="1:42" s="27" customFormat="1" ht="25.5" outlineLevel="2" x14ac:dyDescent="0.25">
      <c r="A176" s="333"/>
      <c r="B176" s="22" t="s">
        <v>327</v>
      </c>
      <c r="C176" s="25" t="s">
        <v>276</v>
      </c>
      <c r="D176" s="17">
        <v>2</v>
      </c>
      <c r="E176" s="248"/>
      <c r="F176" s="248"/>
      <c r="G176" s="248"/>
      <c r="H176" s="248"/>
      <c r="I176" s="248"/>
      <c r="J176" s="210"/>
      <c r="K176" s="56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</row>
    <row r="177" spans="1:42" s="27" customFormat="1" outlineLevel="2" x14ac:dyDescent="0.25">
      <c r="A177" s="10"/>
      <c r="B177" s="21" t="s">
        <v>280</v>
      </c>
      <c r="C177" s="23" t="s">
        <v>45</v>
      </c>
      <c r="D177" s="24">
        <v>1</v>
      </c>
      <c r="E177" s="26"/>
      <c r="F177" s="26"/>
      <c r="G177" s="26"/>
      <c r="H177" s="26"/>
      <c r="I177" s="26"/>
      <c r="J177" s="210"/>
      <c r="K177" s="805" t="s">
        <v>646</v>
      </c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</row>
    <row r="178" spans="1:42" s="27" customFormat="1" outlineLevel="2" x14ac:dyDescent="0.25">
      <c r="A178" s="15"/>
      <c r="B178" s="22" t="s">
        <v>281</v>
      </c>
      <c r="C178" s="25" t="s">
        <v>276</v>
      </c>
      <c r="D178" s="25">
        <v>1</v>
      </c>
      <c r="E178" s="19"/>
      <c r="F178" s="19"/>
      <c r="G178" s="19"/>
      <c r="H178" s="19"/>
      <c r="I178" s="19"/>
      <c r="J178" s="294" t="s">
        <v>282</v>
      </c>
      <c r="K178" s="806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</row>
    <row r="179" spans="1:42" s="27" customFormat="1" outlineLevel="2" x14ac:dyDescent="0.25">
      <c r="A179" s="15"/>
      <c r="B179" s="22" t="s">
        <v>283</v>
      </c>
      <c r="C179" s="25" t="s">
        <v>276</v>
      </c>
      <c r="D179" s="25">
        <v>1</v>
      </c>
      <c r="E179" s="19"/>
      <c r="F179" s="19"/>
      <c r="G179" s="19"/>
      <c r="H179" s="19"/>
      <c r="I179" s="19"/>
      <c r="J179" s="294" t="s">
        <v>282</v>
      </c>
      <c r="K179" s="806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</row>
    <row r="180" spans="1:42" s="27" customFormat="1" outlineLevel="2" x14ac:dyDescent="0.25">
      <c r="A180" s="15"/>
      <c r="B180" s="22" t="s">
        <v>284</v>
      </c>
      <c r="C180" s="25" t="s">
        <v>276</v>
      </c>
      <c r="D180" s="25">
        <v>3</v>
      </c>
      <c r="E180" s="19"/>
      <c r="F180" s="19"/>
      <c r="G180" s="19"/>
      <c r="H180" s="19"/>
      <c r="I180" s="19"/>
      <c r="J180" s="294" t="s">
        <v>282</v>
      </c>
      <c r="K180" s="807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</row>
    <row r="181" spans="1:42" s="27" customFormat="1" outlineLevel="2" x14ac:dyDescent="0.25">
      <c r="A181" s="10"/>
      <c r="B181" s="21" t="s">
        <v>364</v>
      </c>
      <c r="C181" s="23" t="s">
        <v>60</v>
      </c>
      <c r="D181" s="24">
        <v>30</v>
      </c>
      <c r="E181" s="26"/>
      <c r="F181" s="26"/>
      <c r="G181" s="26"/>
      <c r="H181" s="26"/>
      <c r="I181" s="26"/>
      <c r="J181" s="210"/>
      <c r="K181" s="56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</row>
    <row r="182" spans="1:42" s="27" customFormat="1" outlineLevel="2" x14ac:dyDescent="0.25">
      <c r="A182" s="15"/>
      <c r="B182" s="22" t="s">
        <v>365</v>
      </c>
      <c r="C182" s="25" t="s">
        <v>60</v>
      </c>
      <c r="D182" s="25">
        <v>30</v>
      </c>
      <c r="E182" s="19"/>
      <c r="F182" s="19"/>
      <c r="G182" s="19"/>
      <c r="H182" s="19"/>
      <c r="I182" s="19"/>
      <c r="J182" s="294" t="s">
        <v>366</v>
      </c>
      <c r="K182" s="56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</row>
    <row r="183" spans="1:42" s="27" customFormat="1" outlineLevel="2" x14ac:dyDescent="0.25">
      <c r="A183" s="10"/>
      <c r="B183" s="21" t="s">
        <v>368</v>
      </c>
      <c r="C183" s="23" t="s">
        <v>60</v>
      </c>
      <c r="D183" s="24">
        <v>9.1</v>
      </c>
      <c r="E183" s="26"/>
      <c r="F183" s="26"/>
      <c r="G183" s="26"/>
      <c r="H183" s="26"/>
      <c r="I183" s="26"/>
      <c r="J183" s="210"/>
      <c r="K183" s="56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</row>
    <row r="184" spans="1:42" s="27" customFormat="1" outlineLevel="2" x14ac:dyDescent="0.25">
      <c r="A184" s="15"/>
      <c r="B184" s="22" t="s">
        <v>369</v>
      </c>
      <c r="C184" s="25" t="s">
        <v>60</v>
      </c>
      <c r="D184" s="25">
        <v>9.1</v>
      </c>
      <c r="E184" s="19"/>
      <c r="F184" s="19"/>
      <c r="G184" s="19"/>
      <c r="H184" s="19"/>
      <c r="I184" s="19"/>
      <c r="J184" s="294"/>
      <c r="K184" s="56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</row>
    <row r="185" spans="1:42" s="27" customFormat="1" outlineLevel="2" x14ac:dyDescent="0.25">
      <c r="A185" s="10"/>
      <c r="B185" s="21" t="s">
        <v>371</v>
      </c>
      <c r="C185" s="23" t="s">
        <v>60</v>
      </c>
      <c r="D185" s="23">
        <v>4</v>
      </c>
      <c r="E185" s="26"/>
      <c r="F185" s="26"/>
      <c r="G185" s="26"/>
      <c r="H185" s="26"/>
      <c r="I185" s="26"/>
      <c r="J185" s="210"/>
      <c r="K185" s="56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</row>
    <row r="186" spans="1:42" s="27" customFormat="1" outlineLevel="2" x14ac:dyDescent="0.25">
      <c r="A186" s="15"/>
      <c r="B186" s="22" t="s">
        <v>372</v>
      </c>
      <c r="C186" s="25" t="s">
        <v>60</v>
      </c>
      <c r="D186" s="25">
        <v>4</v>
      </c>
      <c r="E186" s="19"/>
      <c r="F186" s="19"/>
      <c r="G186" s="19"/>
      <c r="H186" s="19"/>
      <c r="I186" s="19"/>
      <c r="J186" s="294" t="s">
        <v>296</v>
      </c>
      <c r="K186" s="56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</row>
    <row r="187" spans="1:42" s="27" customFormat="1" outlineLevel="2" x14ac:dyDescent="0.25">
      <c r="A187" s="10"/>
      <c r="B187" s="21" t="s">
        <v>374</v>
      </c>
      <c r="C187" s="23" t="s">
        <v>89</v>
      </c>
      <c r="D187" s="24">
        <v>23.7</v>
      </c>
      <c r="E187" s="26"/>
      <c r="F187" s="26"/>
      <c r="G187" s="26"/>
      <c r="H187" s="26"/>
      <c r="I187" s="26"/>
      <c r="J187" s="210"/>
      <c r="K187" s="56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</row>
    <row r="188" spans="1:42" s="27" customFormat="1" outlineLevel="2" x14ac:dyDescent="0.25">
      <c r="A188" s="15"/>
      <c r="B188" s="22" t="s">
        <v>375</v>
      </c>
      <c r="C188" s="25" t="s">
        <v>89</v>
      </c>
      <c r="D188" s="17">
        <v>23.7</v>
      </c>
      <c r="E188" s="19"/>
      <c r="F188" s="19"/>
      <c r="G188" s="19"/>
      <c r="H188" s="19"/>
      <c r="I188" s="19"/>
      <c r="J188" s="294"/>
      <c r="K188" s="56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</row>
    <row r="189" spans="1:42" s="63" customFormat="1" ht="12.75" customHeight="1" outlineLevel="1" x14ac:dyDescent="0.25">
      <c r="A189" s="120" t="s">
        <v>379</v>
      </c>
      <c r="B189" s="130" t="s">
        <v>329</v>
      </c>
      <c r="C189" s="138" t="s">
        <v>54</v>
      </c>
      <c r="D189" s="121">
        <v>1</v>
      </c>
      <c r="E189" s="133"/>
      <c r="F189" s="133"/>
      <c r="G189" s="133"/>
      <c r="H189" s="133"/>
      <c r="I189" s="133"/>
      <c r="J189" s="300" t="s">
        <v>330</v>
      </c>
      <c r="K189" s="65"/>
      <c r="L189" s="338"/>
      <c r="M189" s="338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8"/>
      <c r="AC189" s="338"/>
      <c r="AD189" s="338"/>
      <c r="AE189" s="338"/>
      <c r="AF189" s="338"/>
      <c r="AG189" s="338"/>
      <c r="AH189" s="338"/>
      <c r="AI189" s="338"/>
      <c r="AJ189" s="338"/>
      <c r="AK189" s="338"/>
      <c r="AL189" s="338"/>
      <c r="AM189" s="338"/>
      <c r="AN189" s="338"/>
      <c r="AO189" s="338"/>
      <c r="AP189" s="338"/>
    </row>
    <row r="190" spans="1:42" s="27" customFormat="1" outlineLevel="2" x14ac:dyDescent="0.25">
      <c r="A190" s="15"/>
      <c r="B190" s="22" t="s">
        <v>305</v>
      </c>
      <c r="C190" s="25" t="s">
        <v>45</v>
      </c>
      <c r="D190" s="17">
        <v>2</v>
      </c>
      <c r="E190" s="352"/>
      <c r="F190" s="352"/>
      <c r="G190" s="352"/>
      <c r="H190" s="352"/>
      <c r="I190" s="352"/>
      <c r="J190" s="294"/>
      <c r="K190" s="56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</row>
    <row r="191" spans="1:42" s="27" customFormat="1" outlineLevel="2" x14ac:dyDescent="0.25">
      <c r="A191" s="15"/>
      <c r="B191" s="22" t="s">
        <v>331</v>
      </c>
      <c r="C191" s="25" t="s">
        <v>45</v>
      </c>
      <c r="D191" s="17">
        <v>1</v>
      </c>
      <c r="E191" s="352"/>
      <c r="F191" s="352"/>
      <c r="G191" s="352"/>
      <c r="H191" s="352"/>
      <c r="I191" s="352"/>
      <c r="J191" s="294"/>
      <c r="K191" s="56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</row>
    <row r="192" spans="1:42" s="27" customFormat="1" outlineLevel="2" x14ac:dyDescent="0.25">
      <c r="A192" s="15"/>
      <c r="B192" s="22" t="s">
        <v>332</v>
      </c>
      <c r="C192" s="25"/>
      <c r="D192" s="17"/>
      <c r="E192" s="352"/>
      <c r="F192" s="352"/>
      <c r="G192" s="352"/>
      <c r="H192" s="352"/>
      <c r="I192" s="352"/>
      <c r="J192" s="294" t="s">
        <v>333</v>
      </c>
      <c r="K192" s="56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</row>
    <row r="193" spans="1:42" s="27" customFormat="1" outlineLevel="2" x14ac:dyDescent="0.25">
      <c r="A193" s="15"/>
      <c r="B193" s="22" t="s">
        <v>334</v>
      </c>
      <c r="C193" s="25" t="s">
        <v>45</v>
      </c>
      <c r="D193" s="17">
        <v>1</v>
      </c>
      <c r="E193" s="352"/>
      <c r="F193" s="352"/>
      <c r="G193" s="352"/>
      <c r="H193" s="352"/>
      <c r="I193" s="352"/>
      <c r="J193" s="294"/>
      <c r="K193" s="56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</row>
    <row r="194" spans="1:42" s="27" customFormat="1" outlineLevel="2" x14ac:dyDescent="0.25">
      <c r="A194" s="15"/>
      <c r="B194" s="22" t="s">
        <v>335</v>
      </c>
      <c r="C194" s="25" t="s">
        <v>45</v>
      </c>
      <c r="D194" s="17">
        <v>1</v>
      </c>
      <c r="E194" s="352"/>
      <c r="F194" s="352"/>
      <c r="G194" s="352"/>
      <c r="H194" s="352"/>
      <c r="I194" s="352"/>
      <c r="J194" s="294"/>
      <c r="K194" s="56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</row>
    <row r="195" spans="1:42" s="27" customFormat="1" outlineLevel="2" x14ac:dyDescent="0.25">
      <c r="A195" s="15"/>
      <c r="B195" s="22" t="s">
        <v>336</v>
      </c>
      <c r="C195" s="25" t="s">
        <v>45</v>
      </c>
      <c r="D195" s="17">
        <v>1</v>
      </c>
      <c r="E195" s="352"/>
      <c r="F195" s="352"/>
      <c r="G195" s="352"/>
      <c r="H195" s="352"/>
      <c r="I195" s="352"/>
      <c r="J195" s="294"/>
      <c r="K195" s="56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</row>
    <row r="196" spans="1:42" s="27" customFormat="1" outlineLevel="2" x14ac:dyDescent="0.25">
      <c r="A196" s="15"/>
      <c r="B196" s="22" t="s">
        <v>337</v>
      </c>
      <c r="C196" s="25" t="s">
        <v>45</v>
      </c>
      <c r="D196" s="17">
        <v>1</v>
      </c>
      <c r="E196" s="352"/>
      <c r="F196" s="352"/>
      <c r="G196" s="352"/>
      <c r="H196" s="352"/>
      <c r="I196" s="352"/>
      <c r="J196" s="294"/>
      <c r="K196" s="56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</row>
    <row r="197" spans="1:42" s="27" customFormat="1" outlineLevel="2" x14ac:dyDescent="0.25">
      <c r="A197" s="15"/>
      <c r="B197" s="22" t="s">
        <v>338</v>
      </c>
      <c r="C197" s="25" t="s">
        <v>45</v>
      </c>
      <c r="D197" s="17">
        <v>1</v>
      </c>
      <c r="E197" s="352"/>
      <c r="F197" s="352"/>
      <c r="G197" s="352"/>
      <c r="H197" s="352"/>
      <c r="I197" s="352"/>
      <c r="J197" s="294" t="s">
        <v>333</v>
      </c>
      <c r="K197" s="56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</row>
    <row r="198" spans="1:42" s="27" customFormat="1" outlineLevel="2" x14ac:dyDescent="0.25">
      <c r="A198" s="15"/>
      <c r="B198" s="22" t="s">
        <v>339</v>
      </c>
      <c r="C198" s="25" t="s">
        <v>45</v>
      </c>
      <c r="D198" s="17">
        <v>1</v>
      </c>
      <c r="E198" s="352"/>
      <c r="F198" s="352"/>
      <c r="G198" s="352"/>
      <c r="H198" s="352"/>
      <c r="I198" s="352"/>
      <c r="J198" s="294"/>
      <c r="K198" s="56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</row>
    <row r="199" spans="1:42" s="27" customFormat="1" outlineLevel="2" x14ac:dyDescent="0.25">
      <c r="A199" s="15"/>
      <c r="B199" s="22" t="s">
        <v>340</v>
      </c>
      <c r="C199" s="25" t="s">
        <v>45</v>
      </c>
      <c r="D199" s="17">
        <v>1</v>
      </c>
      <c r="E199" s="352"/>
      <c r="F199" s="352"/>
      <c r="G199" s="352"/>
      <c r="H199" s="352"/>
      <c r="I199" s="352"/>
      <c r="J199" s="294"/>
      <c r="K199" s="56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</row>
    <row r="200" spans="1:42" s="27" customFormat="1" outlineLevel="2" x14ac:dyDescent="0.25">
      <c r="A200" s="15"/>
      <c r="B200" s="22" t="s">
        <v>341</v>
      </c>
      <c r="C200" s="25" t="s">
        <v>45</v>
      </c>
      <c r="D200" s="17">
        <v>1</v>
      </c>
      <c r="E200" s="352"/>
      <c r="F200" s="352"/>
      <c r="G200" s="352"/>
      <c r="H200" s="352"/>
      <c r="I200" s="352"/>
      <c r="J200" s="294"/>
      <c r="K200" s="56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</row>
    <row r="201" spans="1:42" s="27" customFormat="1" outlineLevel="2" x14ac:dyDescent="0.25">
      <c r="A201" s="15"/>
      <c r="B201" s="22" t="s">
        <v>342</v>
      </c>
      <c r="C201" s="25" t="s">
        <v>45</v>
      </c>
      <c r="D201" s="17">
        <v>4</v>
      </c>
      <c r="E201" s="352"/>
      <c r="F201" s="352"/>
      <c r="G201" s="352"/>
      <c r="H201" s="352"/>
      <c r="I201" s="352"/>
      <c r="J201" s="294"/>
      <c r="K201" s="56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</row>
    <row r="202" spans="1:42" s="27" customFormat="1" outlineLevel="2" x14ac:dyDescent="0.25">
      <c r="A202" s="15"/>
      <c r="B202" s="22" t="s">
        <v>343</v>
      </c>
      <c r="C202" s="25" t="s">
        <v>45</v>
      </c>
      <c r="D202" s="17">
        <v>4</v>
      </c>
      <c r="E202" s="352"/>
      <c r="F202" s="352"/>
      <c r="G202" s="352"/>
      <c r="H202" s="352"/>
      <c r="I202" s="352"/>
      <c r="J202" s="294"/>
      <c r="K202" s="56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</row>
    <row r="203" spans="1:42" s="27" customFormat="1" outlineLevel="2" x14ac:dyDescent="0.25">
      <c r="A203" s="15"/>
      <c r="B203" s="22" t="s">
        <v>344</v>
      </c>
      <c r="C203" s="25" t="s">
        <v>45</v>
      </c>
      <c r="D203" s="17">
        <v>1</v>
      </c>
      <c r="E203" s="352"/>
      <c r="F203" s="352"/>
      <c r="G203" s="352"/>
      <c r="H203" s="352"/>
      <c r="I203" s="352"/>
      <c r="J203" s="294"/>
      <c r="K203" s="56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</row>
    <row r="204" spans="1:42" s="27" customFormat="1" outlineLevel="2" x14ac:dyDescent="0.25">
      <c r="A204" s="15"/>
      <c r="B204" s="22" t="s">
        <v>345</v>
      </c>
      <c r="C204" s="25" t="s">
        <v>45</v>
      </c>
      <c r="D204" s="17">
        <v>1</v>
      </c>
      <c r="E204" s="352"/>
      <c r="F204" s="352"/>
      <c r="G204" s="352"/>
      <c r="H204" s="352"/>
      <c r="I204" s="352"/>
      <c r="J204" s="294"/>
      <c r="K204" s="56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</row>
    <row r="205" spans="1:42" s="27" customFormat="1" outlineLevel="2" x14ac:dyDescent="0.25">
      <c r="A205" s="15"/>
      <c r="B205" s="22" t="s">
        <v>346</v>
      </c>
      <c r="C205" s="25" t="s">
        <v>45</v>
      </c>
      <c r="D205" s="17">
        <v>4</v>
      </c>
      <c r="E205" s="352"/>
      <c r="F205" s="352"/>
      <c r="G205" s="352"/>
      <c r="H205" s="352"/>
      <c r="I205" s="352"/>
      <c r="J205" s="294"/>
      <c r="K205" s="56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</row>
    <row r="206" spans="1:42" s="27" customFormat="1" ht="25.5" outlineLevel="2" x14ac:dyDescent="0.25">
      <c r="A206" s="15"/>
      <c r="B206" s="22" t="s">
        <v>347</v>
      </c>
      <c r="C206" s="25" t="s">
        <v>60</v>
      </c>
      <c r="D206" s="17">
        <v>2</v>
      </c>
      <c r="E206" s="352"/>
      <c r="F206" s="352"/>
      <c r="G206" s="352"/>
      <c r="H206" s="352"/>
      <c r="I206" s="352"/>
      <c r="J206" s="294" t="s">
        <v>333</v>
      </c>
      <c r="K206" s="56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</row>
    <row r="207" spans="1:42" s="27" customFormat="1" ht="25.5" outlineLevel="2" x14ac:dyDescent="0.25">
      <c r="A207" s="15"/>
      <c r="B207" s="22" t="s">
        <v>348</v>
      </c>
      <c r="C207" s="25" t="s">
        <v>60</v>
      </c>
      <c r="D207" s="17">
        <v>2</v>
      </c>
      <c r="E207" s="352"/>
      <c r="F207" s="352"/>
      <c r="G207" s="352"/>
      <c r="H207" s="352"/>
      <c r="I207" s="352"/>
      <c r="J207" s="294"/>
      <c r="K207" s="56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</row>
    <row r="208" spans="1:42" s="27" customFormat="1" outlineLevel="2" x14ac:dyDescent="0.25">
      <c r="A208" s="15"/>
      <c r="B208" s="22" t="s">
        <v>349</v>
      </c>
      <c r="C208" s="25" t="s">
        <v>60</v>
      </c>
      <c r="D208" s="17">
        <v>20</v>
      </c>
      <c r="E208" s="352"/>
      <c r="F208" s="352"/>
      <c r="G208" s="352"/>
      <c r="H208" s="352"/>
      <c r="I208" s="352"/>
      <c r="J208" s="294" t="s">
        <v>350</v>
      </c>
      <c r="K208" s="56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</row>
    <row r="209" spans="1:42" s="27" customFormat="1" outlineLevel="2" x14ac:dyDescent="0.25">
      <c r="A209" s="15"/>
      <c r="B209" s="22" t="s">
        <v>351</v>
      </c>
      <c r="C209" s="25" t="s">
        <v>60</v>
      </c>
      <c r="D209" s="17">
        <v>20</v>
      </c>
      <c r="E209" s="352"/>
      <c r="F209" s="352"/>
      <c r="G209" s="352"/>
      <c r="H209" s="352"/>
      <c r="I209" s="352"/>
      <c r="J209" s="294"/>
      <c r="K209" s="56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</row>
    <row r="210" spans="1:42" s="27" customFormat="1" outlineLevel="2" x14ac:dyDescent="0.25">
      <c r="A210" s="15"/>
      <c r="B210" s="22" t="s">
        <v>352</v>
      </c>
      <c r="C210" s="25" t="s">
        <v>276</v>
      </c>
      <c r="D210" s="17">
        <v>1</v>
      </c>
      <c r="E210" s="352"/>
      <c r="F210" s="352"/>
      <c r="G210" s="352"/>
      <c r="H210" s="352"/>
      <c r="I210" s="352"/>
      <c r="J210" s="294"/>
      <c r="K210" s="56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</row>
    <row r="211" spans="1:42" s="27" customFormat="1" outlineLevel="2" x14ac:dyDescent="0.25">
      <c r="A211" s="15"/>
      <c r="B211" s="22" t="s">
        <v>353</v>
      </c>
      <c r="C211" s="25" t="s">
        <v>276</v>
      </c>
      <c r="D211" s="17">
        <v>1</v>
      </c>
      <c r="E211" s="352"/>
      <c r="F211" s="352"/>
      <c r="G211" s="352"/>
      <c r="H211" s="352"/>
      <c r="I211" s="352"/>
      <c r="J211" s="294"/>
      <c r="K211" s="56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</row>
    <row r="212" spans="1:42" s="27" customFormat="1" outlineLevel="2" x14ac:dyDescent="0.25">
      <c r="A212" s="15"/>
      <c r="B212" s="22" t="s">
        <v>354</v>
      </c>
      <c r="C212" s="25" t="s">
        <v>276</v>
      </c>
      <c r="D212" s="17">
        <v>1</v>
      </c>
      <c r="E212" s="352"/>
      <c r="F212" s="352"/>
      <c r="G212" s="352"/>
      <c r="H212" s="352"/>
      <c r="I212" s="352"/>
      <c r="J212" s="294"/>
      <c r="K212" s="56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</row>
    <row r="213" spans="1:42" s="27" customFormat="1" outlineLevel="2" x14ac:dyDescent="0.25">
      <c r="A213" s="15"/>
      <c r="B213" s="22" t="s">
        <v>355</v>
      </c>
      <c r="C213" s="25" t="s">
        <v>60</v>
      </c>
      <c r="D213" s="17">
        <v>20</v>
      </c>
      <c r="E213" s="352"/>
      <c r="F213" s="352"/>
      <c r="G213" s="352"/>
      <c r="H213" s="352"/>
      <c r="I213" s="352"/>
      <c r="J213" s="294"/>
      <c r="K213" s="56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</row>
    <row r="214" spans="1:42" s="27" customFormat="1" outlineLevel="2" x14ac:dyDescent="0.25">
      <c r="A214" s="15"/>
      <c r="B214" s="22" t="s">
        <v>356</v>
      </c>
      <c r="C214" s="25" t="s">
        <v>276</v>
      </c>
      <c r="D214" s="17">
        <v>20</v>
      </c>
      <c r="E214" s="352"/>
      <c r="F214" s="352"/>
      <c r="G214" s="352"/>
      <c r="H214" s="352"/>
      <c r="I214" s="352"/>
      <c r="J214" s="294"/>
      <c r="K214" s="56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</row>
    <row r="215" spans="1:42" s="27" customFormat="1" outlineLevel="2" x14ac:dyDescent="0.25">
      <c r="A215" s="15"/>
      <c r="B215" s="22" t="s">
        <v>357</v>
      </c>
      <c r="C215" s="25" t="s">
        <v>276</v>
      </c>
      <c r="D215" s="17">
        <v>10</v>
      </c>
      <c r="E215" s="352"/>
      <c r="F215" s="352"/>
      <c r="G215" s="352"/>
      <c r="H215" s="352"/>
      <c r="I215" s="352"/>
      <c r="J215" s="294"/>
      <c r="K215" s="56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</row>
    <row r="216" spans="1:42" s="27" customFormat="1" outlineLevel="2" x14ac:dyDescent="0.25">
      <c r="A216" s="15"/>
      <c r="B216" s="22" t="s">
        <v>358</v>
      </c>
      <c r="C216" s="25" t="s">
        <v>276</v>
      </c>
      <c r="D216" s="17">
        <v>1</v>
      </c>
      <c r="E216" s="352"/>
      <c r="F216" s="352"/>
      <c r="G216" s="352"/>
      <c r="H216" s="352"/>
      <c r="I216" s="352"/>
      <c r="J216" s="294"/>
      <c r="K216" s="56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</row>
    <row r="217" spans="1:42" s="27" customFormat="1" outlineLevel="2" x14ac:dyDescent="0.25">
      <c r="A217" s="15"/>
      <c r="B217" s="22" t="s">
        <v>359</v>
      </c>
      <c r="C217" s="25" t="s">
        <v>276</v>
      </c>
      <c r="D217" s="17">
        <v>12</v>
      </c>
      <c r="E217" s="352"/>
      <c r="F217" s="352"/>
      <c r="G217" s="352"/>
      <c r="H217" s="352"/>
      <c r="I217" s="352"/>
      <c r="J217" s="294"/>
      <c r="K217" s="56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</row>
    <row r="218" spans="1:42" s="27" customFormat="1" outlineLevel="2" x14ac:dyDescent="0.25">
      <c r="A218" s="15"/>
      <c r="B218" s="22" t="s">
        <v>360</v>
      </c>
      <c r="C218" s="25" t="s">
        <v>60</v>
      </c>
      <c r="D218" s="17">
        <v>20</v>
      </c>
      <c r="E218" s="352"/>
      <c r="F218" s="352"/>
      <c r="G218" s="352"/>
      <c r="H218" s="352"/>
      <c r="I218" s="352"/>
      <c r="J218" s="294"/>
      <c r="K218" s="56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</row>
    <row r="219" spans="1:42" s="27" customFormat="1" ht="25.5" outlineLevel="2" x14ac:dyDescent="0.25">
      <c r="A219" s="15"/>
      <c r="B219" s="22" t="s">
        <v>361</v>
      </c>
      <c r="C219" s="25" t="s">
        <v>276</v>
      </c>
      <c r="D219" s="17">
        <v>1</v>
      </c>
      <c r="E219" s="352"/>
      <c r="F219" s="352"/>
      <c r="G219" s="352"/>
      <c r="H219" s="352"/>
      <c r="I219" s="352"/>
      <c r="J219" s="294" t="s">
        <v>362</v>
      </c>
      <c r="K219" s="56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</row>
    <row r="220" spans="1:42" s="27" customFormat="1" x14ac:dyDescent="0.25">
      <c r="A220" s="379" t="s">
        <v>74</v>
      </c>
      <c r="B220" s="380" t="s">
        <v>715</v>
      </c>
      <c r="C220" s="423" t="s">
        <v>0</v>
      </c>
      <c r="D220" s="424">
        <f>D225</f>
        <v>4996</v>
      </c>
      <c r="E220" s="391"/>
      <c r="F220" s="391"/>
      <c r="G220" s="391"/>
      <c r="H220" s="391"/>
      <c r="I220" s="391"/>
      <c r="J220" s="392"/>
      <c r="K220" s="56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</row>
    <row r="221" spans="1:42" s="341" customFormat="1" x14ac:dyDescent="0.25">
      <c r="A221" s="334"/>
      <c r="B221" s="335" t="s">
        <v>707</v>
      </c>
      <c r="C221" s="336" t="s">
        <v>33</v>
      </c>
      <c r="D221" s="404">
        <f>D238+D263</f>
        <v>0.01</v>
      </c>
      <c r="E221" s="247"/>
      <c r="F221" s="247"/>
      <c r="G221" s="247"/>
      <c r="H221" s="247"/>
      <c r="I221" s="247"/>
      <c r="J221" s="349"/>
      <c r="K221" s="342"/>
    </row>
    <row r="222" spans="1:42" s="341" customFormat="1" x14ac:dyDescent="0.25">
      <c r="A222" s="334"/>
      <c r="B222" s="335" t="s">
        <v>708</v>
      </c>
      <c r="C222" s="336" t="s">
        <v>33</v>
      </c>
      <c r="D222" s="405">
        <f>D237+D262+D281+D297-D221</f>
        <v>661.82</v>
      </c>
      <c r="E222" s="247"/>
      <c r="F222" s="247"/>
      <c r="G222" s="247"/>
      <c r="H222" s="247"/>
      <c r="I222" s="247"/>
      <c r="J222" s="349"/>
      <c r="K222" s="342"/>
    </row>
    <row r="223" spans="1:42" s="341" customFormat="1" x14ac:dyDescent="0.25">
      <c r="A223" s="334"/>
      <c r="B223" s="335" t="s">
        <v>384</v>
      </c>
      <c r="C223" s="336" t="s">
        <v>0</v>
      </c>
      <c r="D223" s="405">
        <f>D229+D254+D277+D293</f>
        <v>294</v>
      </c>
      <c r="E223" s="247"/>
      <c r="F223" s="247"/>
      <c r="G223" s="247"/>
      <c r="H223" s="247"/>
      <c r="I223" s="247"/>
      <c r="J223" s="349"/>
      <c r="K223" s="342"/>
    </row>
    <row r="224" spans="1:42" s="341" customFormat="1" x14ac:dyDescent="0.25">
      <c r="A224" s="334"/>
      <c r="B224" s="335" t="s">
        <v>716</v>
      </c>
      <c r="C224" s="336" t="s">
        <v>0</v>
      </c>
      <c r="D224" s="405">
        <f>D227+D252+D275+D291</f>
        <v>591</v>
      </c>
      <c r="E224" s="247"/>
      <c r="F224" s="247"/>
      <c r="G224" s="247"/>
      <c r="H224" s="247"/>
      <c r="I224" s="247"/>
      <c r="J224" s="349"/>
      <c r="K224" s="342"/>
    </row>
    <row r="225" spans="1:42" s="341" customFormat="1" x14ac:dyDescent="0.25">
      <c r="A225" s="334"/>
      <c r="B225" s="335" t="s">
        <v>414</v>
      </c>
      <c r="C225" s="336" t="s">
        <v>0</v>
      </c>
      <c r="D225" s="405">
        <f>D249+D272+D288+D306</f>
        <v>4996</v>
      </c>
      <c r="E225" s="247"/>
      <c r="F225" s="247"/>
      <c r="G225" s="247"/>
      <c r="H225" s="247"/>
      <c r="I225" s="247"/>
      <c r="J225" s="349"/>
      <c r="K225" s="342"/>
    </row>
    <row r="226" spans="1:42" s="63" customFormat="1" outlineLevel="1" x14ac:dyDescent="0.25">
      <c r="A226" s="403" t="s">
        <v>711</v>
      </c>
      <c r="B226" s="393" t="s">
        <v>376</v>
      </c>
      <c r="C226" s="393"/>
      <c r="D226" s="393"/>
      <c r="E226" s="393"/>
      <c r="F226" s="393"/>
      <c r="G226" s="393"/>
      <c r="H226" s="393"/>
      <c r="I226" s="393"/>
      <c r="J226" s="300"/>
      <c r="K226" s="65"/>
      <c r="L226" s="338"/>
      <c r="M226" s="338"/>
      <c r="N226" s="338"/>
      <c r="O226" s="338"/>
      <c r="P226" s="338"/>
      <c r="Q226" s="338"/>
      <c r="R226" s="338"/>
      <c r="S226" s="338"/>
      <c r="T226" s="338"/>
      <c r="U226" s="338"/>
      <c r="V226" s="338"/>
      <c r="W226" s="338"/>
      <c r="X226" s="338"/>
      <c r="Y226" s="338"/>
      <c r="Z226" s="338"/>
      <c r="AA226" s="338"/>
      <c r="AB226" s="338"/>
      <c r="AC226" s="338"/>
      <c r="AD226" s="338"/>
      <c r="AE226" s="338"/>
      <c r="AF226" s="338"/>
      <c r="AG226" s="338"/>
      <c r="AH226" s="338"/>
      <c r="AI226" s="338"/>
      <c r="AJ226" s="338"/>
      <c r="AK226" s="338"/>
      <c r="AL226" s="338"/>
      <c r="AM226" s="338"/>
      <c r="AN226" s="338"/>
      <c r="AO226" s="338"/>
      <c r="AP226" s="338"/>
    </row>
    <row r="227" spans="1:42" s="63" customFormat="1" outlineLevel="1" x14ac:dyDescent="0.25">
      <c r="A227" s="413"/>
      <c r="B227" s="50" t="s">
        <v>670</v>
      </c>
      <c r="C227" s="28" t="s">
        <v>0</v>
      </c>
      <c r="D227" s="48">
        <f>D228</f>
        <v>175</v>
      </c>
      <c r="E227" s="65"/>
      <c r="F227" s="65"/>
      <c r="G227" s="65"/>
      <c r="H227" s="65"/>
      <c r="I227" s="65"/>
      <c r="J227" s="350"/>
      <c r="K227" s="65"/>
      <c r="L227" s="338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  <c r="AI227" s="338"/>
      <c r="AJ227" s="338"/>
      <c r="AK227" s="338"/>
      <c r="AL227" s="338"/>
      <c r="AM227" s="338"/>
      <c r="AN227" s="338"/>
      <c r="AO227" s="338"/>
      <c r="AP227" s="338"/>
    </row>
    <row r="228" spans="1:42" s="27" customFormat="1" outlineLevel="2" x14ac:dyDescent="0.25">
      <c r="A228" s="305"/>
      <c r="B228" s="69" t="s">
        <v>662</v>
      </c>
      <c r="C228" s="243" t="s">
        <v>0</v>
      </c>
      <c r="D228" s="71">
        <v>175</v>
      </c>
      <c r="E228" s="56"/>
      <c r="F228" s="56"/>
      <c r="G228" s="56"/>
      <c r="H228" s="56"/>
      <c r="I228" s="56"/>
      <c r="J228" s="210"/>
      <c r="K228" s="56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</row>
    <row r="229" spans="1:42" s="27" customFormat="1" outlineLevel="1" x14ac:dyDescent="0.25">
      <c r="A229" s="413"/>
      <c r="B229" s="50" t="s">
        <v>383</v>
      </c>
      <c r="C229" s="28" t="s">
        <v>0</v>
      </c>
      <c r="D229" s="48">
        <f>D230</f>
        <v>85</v>
      </c>
      <c r="E229" s="56"/>
      <c r="F229" s="56"/>
      <c r="G229" s="56"/>
      <c r="H229" s="56"/>
      <c r="I229" s="56"/>
      <c r="J229" s="210"/>
      <c r="K229" s="56"/>
      <c r="L229" s="353">
        <f>D229+D254+D277+D293</f>
        <v>294</v>
      </c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</row>
    <row r="230" spans="1:42" s="27" customFormat="1" outlineLevel="2" x14ac:dyDescent="0.25">
      <c r="A230" s="305"/>
      <c r="B230" s="69" t="s">
        <v>384</v>
      </c>
      <c r="C230" s="243" t="s">
        <v>0</v>
      </c>
      <c r="D230" s="71">
        <v>85</v>
      </c>
      <c r="E230" s="51"/>
      <c r="F230" s="51"/>
      <c r="G230" s="51"/>
      <c r="H230" s="51"/>
      <c r="I230" s="51"/>
      <c r="J230" s="210"/>
      <c r="K230" s="56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</row>
    <row r="231" spans="1:42" s="27" customFormat="1" ht="25.5" outlineLevel="1" x14ac:dyDescent="0.25">
      <c r="A231" s="411"/>
      <c r="B231" s="50" t="s">
        <v>387</v>
      </c>
      <c r="C231" s="28" t="s">
        <v>388</v>
      </c>
      <c r="D231" s="48">
        <v>1</v>
      </c>
      <c r="E231" s="360"/>
      <c r="F231" s="360"/>
      <c r="G231" s="360"/>
      <c r="H231" s="360"/>
      <c r="I231" s="360"/>
      <c r="J231" s="210"/>
      <c r="K231" s="56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</row>
    <row r="232" spans="1:42" s="27" customFormat="1" outlineLevel="2" x14ac:dyDescent="0.25">
      <c r="A232" s="67"/>
      <c r="B232" s="69" t="s">
        <v>389</v>
      </c>
      <c r="C232" s="243" t="s">
        <v>390</v>
      </c>
      <c r="D232" s="71">
        <v>205</v>
      </c>
      <c r="E232" s="360"/>
      <c r="F232" s="360"/>
      <c r="G232" s="360"/>
      <c r="H232" s="360"/>
      <c r="I232" s="360"/>
      <c r="J232" s="210"/>
      <c r="K232" s="56"/>
      <c r="L232" s="353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</row>
    <row r="233" spans="1:42" s="27" customFormat="1" outlineLevel="2" x14ac:dyDescent="0.25">
      <c r="A233" s="67"/>
      <c r="B233" s="69" t="s">
        <v>391</v>
      </c>
      <c r="C233" s="243" t="s">
        <v>390</v>
      </c>
      <c r="D233" s="71">
        <v>50</v>
      </c>
      <c r="E233" s="360"/>
      <c r="F233" s="360"/>
      <c r="G233" s="360"/>
      <c r="H233" s="360"/>
      <c r="I233" s="360"/>
      <c r="J233" s="210"/>
      <c r="K233" s="56"/>
      <c r="L233" s="353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</row>
    <row r="234" spans="1:42" s="180" customFormat="1" outlineLevel="2" x14ac:dyDescent="0.25">
      <c r="A234" s="175"/>
      <c r="B234" s="191" t="s">
        <v>392</v>
      </c>
      <c r="C234" s="185" t="s">
        <v>0</v>
      </c>
      <c r="D234" s="181">
        <v>0.2</v>
      </c>
      <c r="E234" s="360"/>
      <c r="F234" s="360"/>
      <c r="G234" s="360"/>
      <c r="H234" s="360"/>
      <c r="I234" s="360"/>
      <c r="J234" s="297"/>
      <c r="K234" s="179"/>
      <c r="L234" s="353"/>
    </row>
    <row r="235" spans="1:42" s="27" customFormat="1" outlineLevel="2" x14ac:dyDescent="0.25">
      <c r="A235" s="67"/>
      <c r="B235" s="69" t="s">
        <v>393</v>
      </c>
      <c r="C235" s="243" t="s">
        <v>390</v>
      </c>
      <c r="D235" s="71">
        <v>205</v>
      </c>
      <c r="E235" s="360"/>
      <c r="F235" s="360"/>
      <c r="G235" s="360"/>
      <c r="H235" s="360"/>
      <c r="I235" s="360"/>
      <c r="J235" s="294" t="s">
        <v>394</v>
      </c>
      <c r="K235" s="56"/>
      <c r="L235" s="353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</row>
    <row r="236" spans="1:42" s="27" customFormat="1" outlineLevel="2" x14ac:dyDescent="0.25">
      <c r="A236" s="67"/>
      <c r="B236" s="69" t="s">
        <v>395</v>
      </c>
      <c r="C236" s="243" t="s">
        <v>0</v>
      </c>
      <c r="D236" s="71">
        <v>7.12</v>
      </c>
      <c r="E236" s="360"/>
      <c r="F236" s="360"/>
      <c r="G236" s="360"/>
      <c r="H236" s="360"/>
      <c r="I236" s="360"/>
      <c r="J236" s="294" t="s">
        <v>396</v>
      </c>
      <c r="K236" s="56"/>
      <c r="L236" s="353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</row>
    <row r="237" spans="1:42" s="27" customFormat="1" outlineLevel="1" x14ac:dyDescent="0.25">
      <c r="A237" s="413"/>
      <c r="B237" s="50" t="s">
        <v>660</v>
      </c>
      <c r="C237" s="28" t="s">
        <v>33</v>
      </c>
      <c r="D237" s="48">
        <f>SUM(D238:D247)</f>
        <v>286.79000000000002</v>
      </c>
      <c r="E237" s="56"/>
      <c r="F237" s="56"/>
      <c r="G237" s="56"/>
      <c r="H237" s="56"/>
      <c r="I237" s="56"/>
      <c r="J237" s="296"/>
      <c r="K237" s="753" t="s">
        <v>628</v>
      </c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</row>
    <row r="238" spans="1:42" s="27" customFormat="1" outlineLevel="2" x14ac:dyDescent="0.25">
      <c r="A238" s="305"/>
      <c r="B238" s="69" t="s">
        <v>399</v>
      </c>
      <c r="C238" s="243" t="s">
        <v>33</v>
      </c>
      <c r="D238" s="303">
        <f>5.95/1000</f>
        <v>6.0000000000000001E-3</v>
      </c>
      <c r="E238" s="56"/>
      <c r="F238" s="56"/>
      <c r="G238" s="56"/>
      <c r="H238" s="56"/>
      <c r="I238" s="215"/>
      <c r="J238" s="299"/>
      <c r="K238" s="754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</row>
    <row r="239" spans="1:42" s="27" customFormat="1" outlineLevel="2" x14ac:dyDescent="0.25">
      <c r="A239" s="305"/>
      <c r="B239" s="69" t="s">
        <v>401</v>
      </c>
      <c r="C239" s="243" t="s">
        <v>33</v>
      </c>
      <c r="D239" s="303">
        <f>29728.5/1000</f>
        <v>29.728999999999999</v>
      </c>
      <c r="E239" s="56"/>
      <c r="F239" s="56"/>
      <c r="G239" s="56"/>
      <c r="H239" s="56"/>
      <c r="I239" s="215"/>
      <c r="J239" s="299"/>
      <c r="K239" s="754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</row>
    <row r="240" spans="1:42" s="27" customFormat="1" outlineLevel="2" x14ac:dyDescent="0.25">
      <c r="A240" s="305"/>
      <c r="B240" s="69" t="s">
        <v>402</v>
      </c>
      <c r="C240" s="243" t="s">
        <v>33</v>
      </c>
      <c r="D240" s="303">
        <f>14838.48/1000</f>
        <v>14.837999999999999</v>
      </c>
      <c r="E240" s="56"/>
      <c r="F240" s="56"/>
      <c r="G240" s="56"/>
      <c r="H240" s="56"/>
      <c r="I240" s="215"/>
      <c r="J240" s="299"/>
      <c r="K240" s="754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</row>
    <row r="241" spans="1:42" s="27" customFormat="1" outlineLevel="2" x14ac:dyDescent="0.25">
      <c r="A241" s="305"/>
      <c r="B241" s="69" t="s">
        <v>403</v>
      </c>
      <c r="C241" s="243" t="s">
        <v>33</v>
      </c>
      <c r="D241" s="303">
        <f>6934.41/1000</f>
        <v>6.9340000000000002</v>
      </c>
      <c r="E241" s="56"/>
      <c r="F241" s="56"/>
      <c r="G241" s="56"/>
      <c r="H241" s="56"/>
      <c r="I241" s="215"/>
      <c r="J241" s="299"/>
      <c r="K241" s="754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</row>
    <row r="242" spans="1:42" s="27" customFormat="1" outlineLevel="2" x14ac:dyDescent="0.25">
      <c r="A242" s="305"/>
      <c r="B242" s="69" t="s">
        <v>404</v>
      </c>
      <c r="C242" s="243" t="s">
        <v>33</v>
      </c>
      <c r="D242" s="303">
        <f>4257.4/1000</f>
        <v>4.2569999999999997</v>
      </c>
      <c r="E242" s="56"/>
      <c r="F242" s="56"/>
      <c r="G242" s="56"/>
      <c r="H242" s="56"/>
      <c r="I242" s="215"/>
      <c r="J242" s="299"/>
      <c r="K242" s="754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</row>
    <row r="243" spans="1:42" s="27" customFormat="1" outlineLevel="2" x14ac:dyDescent="0.25">
      <c r="A243" s="305"/>
      <c r="B243" s="69" t="s">
        <v>405</v>
      </c>
      <c r="C243" s="243" t="s">
        <v>33</v>
      </c>
      <c r="D243" s="303">
        <f>90.1/1000</f>
        <v>0.09</v>
      </c>
      <c r="E243" s="56"/>
      <c r="F243" s="56"/>
      <c r="G243" s="56"/>
      <c r="H243" s="56"/>
      <c r="I243" s="215"/>
      <c r="J243" s="299"/>
      <c r="K243" s="754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</row>
    <row r="244" spans="1:42" s="27" customFormat="1" outlineLevel="2" x14ac:dyDescent="0.25">
      <c r="A244" s="305"/>
      <c r="B244" s="69" t="s">
        <v>406</v>
      </c>
      <c r="C244" s="243" t="s">
        <v>33</v>
      </c>
      <c r="D244" s="303">
        <f>10044.37/1000</f>
        <v>10.044</v>
      </c>
      <c r="E244" s="56"/>
      <c r="F244" s="56"/>
      <c r="G244" s="56"/>
      <c r="H244" s="56"/>
      <c r="I244" s="215"/>
      <c r="J244" s="299"/>
      <c r="K244" s="754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</row>
    <row r="245" spans="1:42" s="27" customFormat="1" outlineLevel="2" x14ac:dyDescent="0.25">
      <c r="A245" s="305"/>
      <c r="B245" s="72" t="s">
        <v>407</v>
      </c>
      <c r="C245" s="243" t="s">
        <v>33</v>
      </c>
      <c r="D245" s="303">
        <f>189654.52/1000</f>
        <v>189.655</v>
      </c>
      <c r="E245" s="56"/>
      <c r="F245" s="56"/>
      <c r="G245" s="56"/>
      <c r="H245" s="56"/>
      <c r="I245" s="215"/>
      <c r="J245" s="299"/>
      <c r="K245" s="754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</row>
    <row r="246" spans="1:42" s="27" customFormat="1" outlineLevel="2" x14ac:dyDescent="0.25">
      <c r="A246" s="305"/>
      <c r="B246" s="72" t="s">
        <v>408</v>
      </c>
      <c r="C246" s="243" t="s">
        <v>33</v>
      </c>
      <c r="D246" s="303">
        <f>4017/1000</f>
        <v>4.0170000000000003</v>
      </c>
      <c r="E246" s="56"/>
      <c r="F246" s="56"/>
      <c r="G246" s="56"/>
      <c r="H246" s="56"/>
      <c r="I246" s="215"/>
      <c r="J246" s="299"/>
      <c r="K246" s="754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</row>
    <row r="247" spans="1:42" s="27" customFormat="1" outlineLevel="2" x14ac:dyDescent="0.25">
      <c r="A247" s="305"/>
      <c r="B247" s="72" t="s">
        <v>409</v>
      </c>
      <c r="C247" s="243" t="s">
        <v>33</v>
      </c>
      <c r="D247" s="303">
        <f>27217.83/1000</f>
        <v>27.218</v>
      </c>
      <c r="E247" s="56"/>
      <c r="F247" s="56"/>
      <c r="G247" s="56"/>
      <c r="H247" s="56"/>
      <c r="I247" s="215"/>
      <c r="J247" s="299"/>
      <c r="K247" s="754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</row>
    <row r="248" spans="1:42" s="27" customFormat="1" outlineLevel="2" x14ac:dyDescent="0.25">
      <c r="A248" s="305"/>
      <c r="B248" s="69" t="s">
        <v>410</v>
      </c>
      <c r="C248" s="243" t="s">
        <v>92</v>
      </c>
      <c r="D248" s="303">
        <v>4.9800000000000004</v>
      </c>
      <c r="E248" s="56"/>
      <c r="F248" s="56"/>
      <c r="G248" s="56"/>
      <c r="H248" s="56"/>
      <c r="I248" s="56"/>
      <c r="J248" s="294"/>
      <c r="K248" s="754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</row>
    <row r="249" spans="1:42" s="27" customFormat="1" outlineLevel="1" x14ac:dyDescent="0.25">
      <c r="A249" s="413"/>
      <c r="B249" s="50" t="s">
        <v>760</v>
      </c>
      <c r="C249" s="28" t="s">
        <v>0</v>
      </c>
      <c r="D249" s="48">
        <f>D250</f>
        <v>2017</v>
      </c>
      <c r="E249" s="56"/>
      <c r="F249" s="56"/>
      <c r="G249" s="56"/>
      <c r="H249" s="56"/>
      <c r="I249" s="56"/>
      <c r="J249" s="294"/>
      <c r="K249" s="755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</row>
    <row r="250" spans="1:42" s="27" customFormat="1" outlineLevel="2" x14ac:dyDescent="0.25">
      <c r="A250" s="305"/>
      <c r="B250" s="73" t="s">
        <v>414</v>
      </c>
      <c r="C250" s="67" t="s">
        <v>0</v>
      </c>
      <c r="D250" s="68">
        <v>2017</v>
      </c>
      <c r="E250" s="179"/>
      <c r="F250" s="179"/>
      <c r="G250" s="179"/>
      <c r="H250" s="179"/>
      <c r="I250" s="179"/>
      <c r="J250" s="299"/>
      <c r="K250" s="179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</row>
    <row r="251" spans="1:42" s="63" customFormat="1" ht="13.5" outlineLevel="1" x14ac:dyDescent="0.25">
      <c r="A251" s="406" t="s">
        <v>712</v>
      </c>
      <c r="B251" s="865" t="s">
        <v>416</v>
      </c>
      <c r="C251" s="866"/>
      <c r="D251" s="867"/>
      <c r="E251" s="393"/>
      <c r="F251" s="393"/>
      <c r="G251" s="393"/>
      <c r="H251" s="393"/>
      <c r="I251" s="393"/>
      <c r="J251" s="407"/>
      <c r="K251" s="65"/>
      <c r="L251" s="338"/>
      <c r="M251" s="338"/>
      <c r="N251" s="338"/>
      <c r="O251" s="338"/>
      <c r="P251" s="338"/>
      <c r="Q251" s="338"/>
      <c r="R251" s="338"/>
      <c r="S251" s="338"/>
      <c r="T251" s="338"/>
      <c r="U251" s="338"/>
      <c r="V251" s="338"/>
      <c r="W251" s="338"/>
      <c r="X251" s="338"/>
      <c r="Y251" s="338"/>
      <c r="Z251" s="338"/>
      <c r="AA251" s="338"/>
      <c r="AB251" s="338"/>
      <c r="AC251" s="338"/>
      <c r="AD251" s="338"/>
      <c r="AE251" s="338"/>
      <c r="AF251" s="338"/>
      <c r="AG251" s="338"/>
      <c r="AH251" s="338"/>
      <c r="AI251" s="338"/>
      <c r="AJ251" s="338"/>
      <c r="AK251" s="338"/>
      <c r="AL251" s="338"/>
      <c r="AM251" s="338"/>
      <c r="AN251" s="338"/>
      <c r="AO251" s="338"/>
      <c r="AP251" s="338"/>
    </row>
    <row r="252" spans="1:42" s="27" customFormat="1" outlineLevel="1" x14ac:dyDescent="0.25">
      <c r="A252" s="413"/>
      <c r="B252" s="50" t="s">
        <v>669</v>
      </c>
      <c r="C252" s="28" t="s">
        <v>0</v>
      </c>
      <c r="D252" s="48">
        <f>D253</f>
        <v>90</v>
      </c>
      <c r="E252" s="56"/>
      <c r="F252" s="56"/>
      <c r="G252" s="56"/>
      <c r="H252" s="56"/>
      <c r="I252" s="56"/>
      <c r="J252" s="294"/>
      <c r="K252" s="56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</row>
    <row r="253" spans="1:42" s="27" customFormat="1" outlineLevel="2" x14ac:dyDescent="0.25">
      <c r="A253" s="305"/>
      <c r="B253" s="69" t="s">
        <v>662</v>
      </c>
      <c r="C253" s="243" t="s">
        <v>0</v>
      </c>
      <c r="D253" s="74">
        <v>90</v>
      </c>
      <c r="E253" s="75"/>
      <c r="F253" s="75"/>
      <c r="G253" s="75"/>
      <c r="H253" s="75"/>
      <c r="I253" s="75"/>
      <c r="J253" s="75"/>
      <c r="K253" s="75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</row>
    <row r="254" spans="1:42" s="63" customFormat="1" outlineLevel="1" x14ac:dyDescent="0.25">
      <c r="A254" s="413"/>
      <c r="B254" s="50" t="s">
        <v>383</v>
      </c>
      <c r="C254" s="28" t="s">
        <v>0</v>
      </c>
      <c r="D254" s="48">
        <f>D255</f>
        <v>48</v>
      </c>
      <c r="E254" s="65"/>
      <c r="F254" s="65"/>
      <c r="G254" s="65"/>
      <c r="H254" s="65"/>
      <c r="I254" s="65"/>
      <c r="J254" s="65"/>
      <c r="K254" s="65"/>
      <c r="L254" s="338"/>
      <c r="M254" s="338"/>
      <c r="N254" s="338"/>
      <c r="O254" s="338"/>
      <c r="P254" s="338"/>
      <c r="Q254" s="338"/>
      <c r="R254" s="338"/>
      <c r="S254" s="338"/>
      <c r="T254" s="338"/>
      <c r="U254" s="338"/>
      <c r="V254" s="338"/>
      <c r="W254" s="338"/>
      <c r="X254" s="338"/>
      <c r="Y254" s="338"/>
      <c r="Z254" s="338"/>
      <c r="AA254" s="338"/>
      <c r="AB254" s="338"/>
      <c r="AC254" s="338"/>
      <c r="AD254" s="338"/>
      <c r="AE254" s="338"/>
      <c r="AF254" s="338"/>
      <c r="AG254" s="338"/>
      <c r="AH254" s="338"/>
      <c r="AI254" s="338"/>
      <c r="AJ254" s="338"/>
      <c r="AK254" s="338"/>
      <c r="AL254" s="338"/>
      <c r="AM254" s="338"/>
      <c r="AN254" s="338"/>
      <c r="AO254" s="338"/>
      <c r="AP254" s="338"/>
    </row>
    <row r="255" spans="1:42" s="27" customFormat="1" outlineLevel="2" x14ac:dyDescent="0.25">
      <c r="A255" s="305"/>
      <c r="B255" s="73" t="s">
        <v>384</v>
      </c>
      <c r="C255" s="67" t="s">
        <v>0</v>
      </c>
      <c r="D255" s="68">
        <v>48</v>
      </c>
      <c r="E255" s="56"/>
      <c r="F255" s="56"/>
      <c r="G255" s="56"/>
      <c r="H255" s="56"/>
      <c r="I255" s="56"/>
      <c r="J255" s="56"/>
      <c r="K255" s="56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</row>
    <row r="256" spans="1:42" s="27" customFormat="1" outlineLevel="1" x14ac:dyDescent="0.25">
      <c r="A256" s="411"/>
      <c r="B256" s="65" t="s">
        <v>423</v>
      </c>
      <c r="C256" s="56"/>
      <c r="D256" s="26"/>
      <c r="E256" s="56"/>
      <c r="F256" s="56"/>
      <c r="G256" s="56"/>
      <c r="H256" s="56"/>
      <c r="I256" s="56"/>
      <c r="J256" s="294"/>
      <c r="K256" s="56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</row>
    <row r="257" spans="1:42" s="27" customFormat="1" outlineLevel="2" x14ac:dyDescent="0.25">
      <c r="A257" s="67"/>
      <c r="B257" s="51" t="s">
        <v>395</v>
      </c>
      <c r="C257" s="243" t="s">
        <v>0</v>
      </c>
      <c r="D257" s="71">
        <v>3.6</v>
      </c>
      <c r="E257" s="360"/>
      <c r="F257" s="360"/>
      <c r="G257" s="360"/>
      <c r="H257" s="360"/>
      <c r="I257" s="360"/>
      <c r="J257" s="294" t="s">
        <v>396</v>
      </c>
      <c r="K257" s="56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</row>
    <row r="258" spans="1:42" s="27" customFormat="1" outlineLevel="2" x14ac:dyDescent="0.25">
      <c r="A258" s="67"/>
      <c r="B258" s="69" t="s">
        <v>389</v>
      </c>
      <c r="C258" s="243" t="s">
        <v>390</v>
      </c>
      <c r="D258" s="71">
        <v>104</v>
      </c>
      <c r="E258" s="360"/>
      <c r="F258" s="360"/>
      <c r="G258" s="360"/>
      <c r="H258" s="360"/>
      <c r="I258" s="360"/>
      <c r="J258" s="210"/>
      <c r="K258" s="56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</row>
    <row r="259" spans="1:42" s="27" customFormat="1" outlineLevel="2" x14ac:dyDescent="0.25">
      <c r="A259" s="67"/>
      <c r="B259" s="69" t="s">
        <v>391</v>
      </c>
      <c r="C259" s="243" t="s">
        <v>390</v>
      </c>
      <c r="D259" s="71">
        <v>29</v>
      </c>
      <c r="E259" s="360"/>
      <c r="F259" s="360"/>
      <c r="G259" s="360"/>
      <c r="H259" s="360"/>
      <c r="I259" s="360"/>
      <c r="J259" s="210"/>
      <c r="K259" s="56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</row>
    <row r="260" spans="1:42" s="180" customFormat="1" outlineLevel="2" x14ac:dyDescent="0.25">
      <c r="A260" s="175"/>
      <c r="B260" s="191" t="s">
        <v>392</v>
      </c>
      <c r="C260" s="185" t="s">
        <v>0</v>
      </c>
      <c r="D260" s="181">
        <v>0.1</v>
      </c>
      <c r="E260" s="360"/>
      <c r="F260" s="360"/>
      <c r="G260" s="360"/>
      <c r="H260" s="360"/>
      <c r="I260" s="360"/>
      <c r="J260" s="297"/>
      <c r="K260" s="179"/>
    </row>
    <row r="261" spans="1:42" s="27" customFormat="1" outlineLevel="2" x14ac:dyDescent="0.25">
      <c r="A261" s="67"/>
      <c r="B261" s="69" t="s">
        <v>393</v>
      </c>
      <c r="C261" s="243" t="s">
        <v>390</v>
      </c>
      <c r="D261" s="71">
        <v>101</v>
      </c>
      <c r="E261" s="360"/>
      <c r="F261" s="360"/>
      <c r="G261" s="360"/>
      <c r="H261" s="360"/>
      <c r="I261" s="360"/>
      <c r="J261" s="294" t="s">
        <v>394</v>
      </c>
      <c r="K261" s="56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</row>
    <row r="262" spans="1:42" s="27" customFormat="1" ht="13.5" outlineLevel="1" x14ac:dyDescent="0.25">
      <c r="A262" s="413"/>
      <c r="B262" s="50" t="s">
        <v>425</v>
      </c>
      <c r="C262" s="28" t="s">
        <v>33</v>
      </c>
      <c r="D262" s="48">
        <f>SUM(D263:D271)</f>
        <v>149.34</v>
      </c>
      <c r="E262" s="306"/>
      <c r="F262" s="179"/>
      <c r="G262" s="179"/>
      <c r="H262" s="179"/>
      <c r="I262" s="179"/>
      <c r="J262" s="298"/>
      <c r="K262" s="753" t="s">
        <v>629</v>
      </c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</row>
    <row r="263" spans="1:42" s="27" customFormat="1" outlineLevel="2" x14ac:dyDescent="0.25">
      <c r="A263" s="305"/>
      <c r="B263" s="76" t="s">
        <v>399</v>
      </c>
      <c r="C263" s="17" t="s">
        <v>33</v>
      </c>
      <c r="D263" s="77">
        <f>3.5/1000</f>
        <v>4.0000000000000001E-3</v>
      </c>
      <c r="E263" s="307"/>
      <c r="F263" s="308"/>
      <c r="G263" s="179"/>
      <c r="H263" s="179"/>
      <c r="I263" s="222"/>
      <c r="J263" s="294"/>
      <c r="K263" s="754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</row>
    <row r="264" spans="1:42" s="27" customFormat="1" outlineLevel="2" x14ac:dyDescent="0.25">
      <c r="A264" s="305"/>
      <c r="B264" s="76" t="s">
        <v>401</v>
      </c>
      <c r="C264" s="17" t="s">
        <v>33</v>
      </c>
      <c r="D264" s="25">
        <f>2905.92/1000</f>
        <v>2.91</v>
      </c>
      <c r="E264" s="178"/>
      <c r="F264" s="308"/>
      <c r="G264" s="179"/>
      <c r="H264" s="179"/>
      <c r="I264" s="222"/>
      <c r="J264" s="294"/>
      <c r="K264" s="754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</row>
    <row r="265" spans="1:42" s="27" customFormat="1" outlineLevel="2" x14ac:dyDescent="0.25">
      <c r="A265" s="305"/>
      <c r="B265" s="76" t="s">
        <v>426</v>
      </c>
      <c r="C265" s="17" t="s">
        <v>33</v>
      </c>
      <c r="D265" s="25">
        <f>25468.47/1000</f>
        <v>25.47</v>
      </c>
      <c r="E265" s="178"/>
      <c r="F265" s="308"/>
      <c r="G265" s="179"/>
      <c r="H265" s="179"/>
      <c r="I265" s="222"/>
      <c r="J265" s="294"/>
      <c r="K265" s="754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</row>
    <row r="266" spans="1:42" s="27" customFormat="1" outlineLevel="2" x14ac:dyDescent="0.25">
      <c r="A266" s="305"/>
      <c r="B266" s="76" t="s">
        <v>427</v>
      </c>
      <c r="C266" s="17" t="s">
        <v>33</v>
      </c>
      <c r="D266" s="25">
        <f>2277.41/1000</f>
        <v>2.2799999999999998</v>
      </c>
      <c r="E266" s="178"/>
      <c r="F266" s="308"/>
      <c r="G266" s="179"/>
      <c r="H266" s="179"/>
      <c r="I266" s="222"/>
      <c r="J266" s="294"/>
      <c r="K266" s="754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</row>
    <row r="267" spans="1:42" s="27" customFormat="1" outlineLevel="2" x14ac:dyDescent="0.25">
      <c r="A267" s="305"/>
      <c r="B267" s="76" t="s">
        <v>404</v>
      </c>
      <c r="C267" s="17" t="s">
        <v>33</v>
      </c>
      <c r="D267" s="25">
        <f>2523.62/1000</f>
        <v>2.52</v>
      </c>
      <c r="E267" s="178"/>
      <c r="F267" s="308"/>
      <c r="G267" s="179"/>
      <c r="H267" s="179"/>
      <c r="I267" s="222"/>
      <c r="J267" s="294"/>
      <c r="K267" s="754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</row>
    <row r="268" spans="1:42" s="27" customFormat="1" outlineLevel="2" x14ac:dyDescent="0.25">
      <c r="A268" s="305"/>
      <c r="B268" s="76" t="s">
        <v>428</v>
      </c>
      <c r="C268" s="17" t="s">
        <v>33</v>
      </c>
      <c r="D268" s="25">
        <f>2034.62/1000</f>
        <v>2.0299999999999998</v>
      </c>
      <c r="E268" s="178"/>
      <c r="F268" s="308"/>
      <c r="G268" s="179"/>
      <c r="H268" s="179"/>
      <c r="I268" s="222"/>
      <c r="J268" s="294"/>
      <c r="K268" s="754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</row>
    <row r="269" spans="1:42" s="27" customFormat="1" outlineLevel="2" x14ac:dyDescent="0.25">
      <c r="A269" s="305"/>
      <c r="B269" s="76" t="s">
        <v>429</v>
      </c>
      <c r="C269" s="17" t="s">
        <v>33</v>
      </c>
      <c r="D269" s="25">
        <f>110652.15/1000</f>
        <v>110.65</v>
      </c>
      <c r="E269" s="178"/>
      <c r="F269" s="308"/>
      <c r="G269" s="179"/>
      <c r="H269" s="179"/>
      <c r="I269" s="222"/>
      <c r="J269" s="294"/>
      <c r="K269" s="754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  <c r="AC269" s="180"/>
      <c r="AD269" s="180"/>
      <c r="AE269" s="180"/>
      <c r="AF269" s="180"/>
      <c r="AG269" s="180"/>
      <c r="AH269" s="180"/>
      <c r="AI269" s="180"/>
      <c r="AJ269" s="180"/>
      <c r="AK269" s="180"/>
      <c r="AL269" s="180"/>
      <c r="AM269" s="180"/>
      <c r="AN269" s="180"/>
      <c r="AO269" s="180"/>
      <c r="AP269" s="180"/>
    </row>
    <row r="270" spans="1:42" s="27" customFormat="1" outlineLevel="2" x14ac:dyDescent="0.25">
      <c r="A270" s="305"/>
      <c r="B270" s="78" t="s">
        <v>430</v>
      </c>
      <c r="C270" s="17" t="s">
        <v>33</v>
      </c>
      <c r="D270" s="25">
        <f>2607.7/1000</f>
        <v>2.61</v>
      </c>
      <c r="E270" s="178"/>
      <c r="F270" s="308"/>
      <c r="G270" s="179"/>
      <c r="H270" s="179"/>
      <c r="I270" s="222"/>
      <c r="J270" s="294"/>
      <c r="K270" s="754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0"/>
      <c r="AD270" s="180"/>
      <c r="AE270" s="180"/>
      <c r="AF270" s="180"/>
      <c r="AG270" s="180"/>
      <c r="AH270" s="180"/>
      <c r="AI270" s="180"/>
      <c r="AJ270" s="180"/>
      <c r="AK270" s="180"/>
      <c r="AL270" s="180"/>
      <c r="AM270" s="180"/>
      <c r="AN270" s="180"/>
      <c r="AO270" s="180"/>
      <c r="AP270" s="180"/>
    </row>
    <row r="271" spans="1:42" s="27" customFormat="1" outlineLevel="2" x14ac:dyDescent="0.25">
      <c r="A271" s="305"/>
      <c r="B271" s="78" t="s">
        <v>431</v>
      </c>
      <c r="C271" s="17" t="s">
        <v>33</v>
      </c>
      <c r="D271" s="25">
        <f>872.34/1000</f>
        <v>0.87</v>
      </c>
      <c r="E271" s="178"/>
      <c r="F271" s="308"/>
      <c r="G271" s="179"/>
      <c r="H271" s="179"/>
      <c r="I271" s="222"/>
      <c r="J271" s="294"/>
      <c r="K271" s="754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80"/>
      <c r="W271" s="180"/>
      <c r="X271" s="180"/>
      <c r="Y271" s="180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</row>
    <row r="272" spans="1:42" s="27" customFormat="1" outlineLevel="1" x14ac:dyDescent="0.25">
      <c r="A272" s="413"/>
      <c r="B272" s="50" t="s">
        <v>661</v>
      </c>
      <c r="C272" s="28" t="s">
        <v>0</v>
      </c>
      <c r="D272" s="48">
        <f>D273</f>
        <v>909</v>
      </c>
      <c r="E272" s="56"/>
      <c r="F272" s="56"/>
      <c r="G272" s="56"/>
      <c r="H272" s="56"/>
      <c r="I272" s="56"/>
      <c r="J272" s="294"/>
      <c r="K272" s="754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</row>
    <row r="273" spans="1:42" s="27" customFormat="1" outlineLevel="2" x14ac:dyDescent="0.25">
      <c r="A273" s="305"/>
      <c r="B273" s="76" t="s">
        <v>433</v>
      </c>
      <c r="C273" s="243" t="s">
        <v>0</v>
      </c>
      <c r="D273" s="71">
        <v>909</v>
      </c>
      <c r="E273" s="56"/>
      <c r="F273" s="56"/>
      <c r="G273" s="56"/>
      <c r="H273" s="56"/>
      <c r="I273" s="56"/>
      <c r="J273" s="294"/>
      <c r="K273" s="755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180"/>
      <c r="X273" s="180"/>
      <c r="Y273" s="180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</row>
    <row r="274" spans="1:42" s="320" customFormat="1" ht="15" outlineLevel="1" x14ac:dyDescent="0.25">
      <c r="A274" s="408" t="s">
        <v>713</v>
      </c>
      <c r="B274" s="372" t="s">
        <v>434</v>
      </c>
      <c r="C274" s="372"/>
      <c r="D274" s="372"/>
      <c r="E274" s="383"/>
      <c r="F274" s="383"/>
      <c r="G274" s="383"/>
      <c r="H274" s="383"/>
      <c r="I274" s="383"/>
      <c r="J274" s="301"/>
      <c r="K274" s="319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  <c r="AA274" s="358"/>
      <c r="AB274" s="358"/>
      <c r="AC274" s="358"/>
      <c r="AD274" s="358"/>
      <c r="AE274" s="358"/>
      <c r="AF274" s="358"/>
      <c r="AG274" s="358"/>
      <c r="AH274" s="358"/>
      <c r="AI274" s="358"/>
      <c r="AJ274" s="358"/>
      <c r="AK274" s="358"/>
      <c r="AL274" s="358"/>
      <c r="AM274" s="358"/>
      <c r="AN274" s="358"/>
      <c r="AO274" s="358"/>
      <c r="AP274" s="358"/>
    </row>
    <row r="275" spans="1:42" s="320" customFormat="1" ht="15" outlineLevel="1" x14ac:dyDescent="0.25">
      <c r="A275" s="413"/>
      <c r="B275" s="259" t="s">
        <v>671</v>
      </c>
      <c r="C275" s="108" t="s">
        <v>0</v>
      </c>
      <c r="D275" s="313">
        <f>D276</f>
        <v>100</v>
      </c>
      <c r="E275" s="14"/>
      <c r="F275" s="14"/>
      <c r="G275" s="14"/>
      <c r="H275" s="14"/>
      <c r="I275" s="14"/>
      <c r="J275" s="210"/>
      <c r="K275" s="319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  <c r="AA275" s="358"/>
      <c r="AB275" s="358"/>
      <c r="AC275" s="358"/>
      <c r="AD275" s="358"/>
      <c r="AE275" s="358"/>
      <c r="AF275" s="358"/>
      <c r="AG275" s="358"/>
      <c r="AH275" s="358"/>
      <c r="AI275" s="358"/>
      <c r="AJ275" s="358"/>
      <c r="AK275" s="358"/>
      <c r="AL275" s="358"/>
      <c r="AM275" s="358"/>
      <c r="AN275" s="358"/>
      <c r="AO275" s="358"/>
      <c r="AP275" s="358"/>
    </row>
    <row r="276" spans="1:42" s="320" customFormat="1" ht="15" outlineLevel="2" x14ac:dyDescent="0.25">
      <c r="A276" s="321"/>
      <c r="B276" s="54" t="s">
        <v>662</v>
      </c>
      <c r="C276" s="244" t="s">
        <v>0</v>
      </c>
      <c r="D276" s="310">
        <v>100</v>
      </c>
      <c r="E276" s="14"/>
      <c r="F276" s="14"/>
      <c r="G276" s="14"/>
      <c r="H276" s="14"/>
      <c r="I276" s="14"/>
      <c r="J276" s="14"/>
      <c r="K276" s="14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  <c r="AA276" s="358"/>
      <c r="AB276" s="358"/>
      <c r="AC276" s="358"/>
      <c r="AD276" s="358"/>
      <c r="AE276" s="358"/>
      <c r="AF276" s="358"/>
      <c r="AG276" s="358"/>
      <c r="AH276" s="358"/>
      <c r="AI276" s="358"/>
      <c r="AJ276" s="358"/>
      <c r="AK276" s="358"/>
      <c r="AL276" s="358"/>
      <c r="AM276" s="358"/>
      <c r="AN276" s="358"/>
      <c r="AO276" s="358"/>
      <c r="AP276" s="358"/>
    </row>
    <row r="277" spans="1:42" s="320" customFormat="1" ht="15" outlineLevel="1" x14ac:dyDescent="0.25">
      <c r="A277" s="413"/>
      <c r="B277" s="322" t="s">
        <v>383</v>
      </c>
      <c r="C277" s="108" t="s">
        <v>0</v>
      </c>
      <c r="D277" s="111">
        <f>D278</f>
        <v>50</v>
      </c>
      <c r="E277" s="14"/>
      <c r="F277" s="14"/>
      <c r="G277" s="14"/>
      <c r="H277" s="14"/>
      <c r="I277" s="14"/>
      <c r="J277" s="14"/>
      <c r="K277" s="14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  <c r="AA277" s="358"/>
      <c r="AB277" s="358"/>
      <c r="AC277" s="358"/>
      <c r="AD277" s="358"/>
      <c r="AE277" s="358"/>
      <c r="AF277" s="358"/>
      <c r="AG277" s="358"/>
      <c r="AH277" s="358"/>
      <c r="AI277" s="358"/>
      <c r="AJ277" s="358"/>
      <c r="AK277" s="358"/>
      <c r="AL277" s="358"/>
      <c r="AM277" s="358"/>
      <c r="AN277" s="358"/>
      <c r="AO277" s="358"/>
      <c r="AP277" s="358"/>
    </row>
    <row r="278" spans="1:42" s="320" customFormat="1" ht="15" outlineLevel="2" x14ac:dyDescent="0.25">
      <c r="A278" s="321"/>
      <c r="B278" s="323" t="s">
        <v>384</v>
      </c>
      <c r="C278" s="244" t="s">
        <v>0</v>
      </c>
      <c r="D278" s="314">
        <v>50</v>
      </c>
      <c r="E278" s="54"/>
      <c r="F278" s="54"/>
      <c r="G278" s="54"/>
      <c r="H278" s="54"/>
      <c r="I278" s="54"/>
      <c r="J278" s="54"/>
      <c r="K278" s="54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  <c r="AA278" s="358"/>
      <c r="AB278" s="358"/>
      <c r="AC278" s="358"/>
      <c r="AD278" s="358"/>
      <c r="AE278" s="358"/>
      <c r="AF278" s="358"/>
      <c r="AG278" s="358"/>
      <c r="AH278" s="358"/>
      <c r="AI278" s="358"/>
      <c r="AJ278" s="358"/>
      <c r="AK278" s="358"/>
      <c r="AL278" s="358"/>
      <c r="AM278" s="358"/>
      <c r="AN278" s="358"/>
      <c r="AO278" s="358"/>
      <c r="AP278" s="358"/>
    </row>
    <row r="279" spans="1:42" s="320" customFormat="1" ht="15" outlineLevel="1" x14ac:dyDescent="0.25">
      <c r="A279" s="410"/>
      <c r="B279" s="322" t="s">
        <v>438</v>
      </c>
      <c r="C279" s="244"/>
      <c r="D279" s="244"/>
      <c r="E279" s="54"/>
      <c r="F279" s="54"/>
      <c r="G279" s="54"/>
      <c r="H279" s="54"/>
      <c r="I279" s="54"/>
      <c r="J279" s="294"/>
      <c r="K279" s="319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  <c r="AA279" s="358"/>
      <c r="AB279" s="358"/>
      <c r="AC279" s="358"/>
      <c r="AD279" s="358"/>
      <c r="AE279" s="358"/>
      <c r="AF279" s="358"/>
      <c r="AG279" s="358"/>
      <c r="AH279" s="358"/>
      <c r="AI279" s="358"/>
      <c r="AJ279" s="358"/>
      <c r="AK279" s="358"/>
      <c r="AL279" s="358"/>
      <c r="AM279" s="358"/>
      <c r="AN279" s="358"/>
      <c r="AO279" s="358"/>
      <c r="AP279" s="358"/>
    </row>
    <row r="280" spans="1:42" s="320" customFormat="1" ht="15" outlineLevel="2" x14ac:dyDescent="0.25">
      <c r="A280" s="57"/>
      <c r="B280" s="323" t="s">
        <v>391</v>
      </c>
      <c r="C280" s="244" t="s">
        <v>390</v>
      </c>
      <c r="D280" s="310">
        <v>85</v>
      </c>
      <c r="E280" s="360"/>
      <c r="F280" s="360"/>
      <c r="G280" s="360"/>
      <c r="H280" s="360"/>
      <c r="I280" s="360"/>
      <c r="J280" s="294"/>
      <c r="K280" s="319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  <c r="AA280" s="358"/>
      <c r="AB280" s="358"/>
      <c r="AC280" s="358"/>
      <c r="AD280" s="358"/>
      <c r="AE280" s="358"/>
      <c r="AF280" s="358"/>
      <c r="AG280" s="358"/>
      <c r="AH280" s="358"/>
      <c r="AI280" s="358"/>
      <c r="AJ280" s="358"/>
      <c r="AK280" s="358"/>
      <c r="AL280" s="358"/>
      <c r="AM280" s="358"/>
      <c r="AN280" s="358"/>
      <c r="AO280" s="358"/>
      <c r="AP280" s="358"/>
    </row>
    <row r="281" spans="1:42" s="320" customFormat="1" ht="15" outlineLevel="1" x14ac:dyDescent="0.25">
      <c r="A281" s="413"/>
      <c r="B281" s="259" t="s">
        <v>665</v>
      </c>
      <c r="C281" s="108" t="s">
        <v>33</v>
      </c>
      <c r="D281" s="111">
        <f>SUM(D282:D287)</f>
        <v>79.819999999999993</v>
      </c>
      <c r="E281" s="14"/>
      <c r="F281" s="14"/>
      <c r="G281" s="14"/>
      <c r="H281" s="14"/>
      <c r="I281" s="14"/>
      <c r="J281" s="210"/>
      <c r="K281" s="868" t="s">
        <v>632</v>
      </c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  <c r="AA281" s="358"/>
      <c r="AB281" s="358"/>
      <c r="AC281" s="358"/>
      <c r="AD281" s="358"/>
      <c r="AE281" s="358"/>
      <c r="AF281" s="358"/>
      <c r="AG281" s="358"/>
      <c r="AH281" s="358"/>
      <c r="AI281" s="358"/>
      <c r="AJ281" s="358"/>
      <c r="AK281" s="358"/>
      <c r="AL281" s="358"/>
      <c r="AM281" s="358"/>
      <c r="AN281" s="358"/>
      <c r="AO281" s="358"/>
      <c r="AP281" s="358"/>
    </row>
    <row r="282" spans="1:42" s="320" customFormat="1" ht="15" outlineLevel="2" x14ac:dyDescent="0.25">
      <c r="A282" s="321"/>
      <c r="B282" s="324" t="s">
        <v>401</v>
      </c>
      <c r="C282" s="315" t="s">
        <v>33</v>
      </c>
      <c r="D282" s="310">
        <f>6254.92/1000</f>
        <v>6.25</v>
      </c>
      <c r="E282" s="310"/>
      <c r="F282" s="325"/>
      <c r="G282" s="14"/>
      <c r="H282" s="14"/>
      <c r="I282" s="14"/>
      <c r="J282" s="14"/>
      <c r="K282" s="869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  <c r="AA282" s="358"/>
      <c r="AB282" s="358"/>
      <c r="AC282" s="358"/>
      <c r="AD282" s="358"/>
      <c r="AE282" s="358"/>
      <c r="AF282" s="358"/>
      <c r="AG282" s="358"/>
      <c r="AH282" s="358"/>
      <c r="AI282" s="358"/>
      <c r="AJ282" s="358"/>
      <c r="AK282" s="358"/>
      <c r="AL282" s="358"/>
      <c r="AM282" s="358"/>
      <c r="AN282" s="358"/>
      <c r="AO282" s="358"/>
      <c r="AP282" s="358"/>
    </row>
    <row r="283" spans="1:42" s="320" customFormat="1" ht="15" outlineLevel="2" x14ac:dyDescent="0.25">
      <c r="A283" s="321"/>
      <c r="B283" s="324" t="s">
        <v>440</v>
      </c>
      <c r="C283" s="315" t="s">
        <v>33</v>
      </c>
      <c r="D283" s="310">
        <f>47078.44/1000</f>
        <v>47.08</v>
      </c>
      <c r="E283" s="310"/>
      <c r="F283" s="325"/>
      <c r="G283" s="14"/>
      <c r="H283" s="14"/>
      <c r="I283" s="14"/>
      <c r="J283" s="14"/>
      <c r="K283" s="869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  <c r="AA283" s="358"/>
      <c r="AB283" s="358"/>
      <c r="AC283" s="358"/>
      <c r="AD283" s="358"/>
      <c r="AE283" s="358"/>
      <c r="AF283" s="358"/>
      <c r="AG283" s="358"/>
      <c r="AH283" s="358"/>
      <c r="AI283" s="358"/>
      <c r="AJ283" s="358"/>
      <c r="AK283" s="358"/>
      <c r="AL283" s="358"/>
      <c r="AM283" s="358"/>
      <c r="AN283" s="358"/>
      <c r="AO283" s="358"/>
      <c r="AP283" s="358"/>
    </row>
    <row r="284" spans="1:42" s="320" customFormat="1" ht="15" outlineLevel="2" x14ac:dyDescent="0.25">
      <c r="A284" s="321"/>
      <c r="B284" s="324" t="s">
        <v>429</v>
      </c>
      <c r="C284" s="315" t="s">
        <v>33</v>
      </c>
      <c r="D284" s="310">
        <f>2600.91/1000</f>
        <v>2.6</v>
      </c>
      <c r="E284" s="310"/>
      <c r="F284" s="325"/>
      <c r="G284" s="14"/>
      <c r="H284" s="14"/>
      <c r="I284" s="14"/>
      <c r="J284" s="14"/>
      <c r="K284" s="869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  <c r="AA284" s="358"/>
      <c r="AB284" s="358"/>
      <c r="AC284" s="358"/>
      <c r="AD284" s="358"/>
      <c r="AE284" s="358"/>
      <c r="AF284" s="358"/>
      <c r="AG284" s="358"/>
      <c r="AH284" s="358"/>
      <c r="AI284" s="358"/>
      <c r="AJ284" s="358"/>
      <c r="AK284" s="358"/>
      <c r="AL284" s="358"/>
      <c r="AM284" s="358"/>
      <c r="AN284" s="358"/>
      <c r="AO284" s="358"/>
      <c r="AP284" s="358"/>
    </row>
    <row r="285" spans="1:42" s="320" customFormat="1" ht="15" outlineLevel="2" x14ac:dyDescent="0.25">
      <c r="A285" s="321"/>
      <c r="B285" s="324" t="s">
        <v>408</v>
      </c>
      <c r="C285" s="315" t="s">
        <v>33</v>
      </c>
      <c r="D285" s="310">
        <f>436.16/1000</f>
        <v>0.44</v>
      </c>
      <c r="E285" s="310"/>
      <c r="F285" s="325"/>
      <c r="G285" s="14"/>
      <c r="H285" s="14"/>
      <c r="I285" s="14"/>
      <c r="J285" s="14"/>
      <c r="K285" s="869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  <c r="AA285" s="358"/>
      <c r="AB285" s="358"/>
      <c r="AC285" s="358"/>
      <c r="AD285" s="358"/>
      <c r="AE285" s="358"/>
      <c r="AF285" s="358"/>
      <c r="AG285" s="358"/>
      <c r="AH285" s="358"/>
      <c r="AI285" s="358"/>
      <c r="AJ285" s="358"/>
      <c r="AK285" s="358"/>
      <c r="AL285" s="358"/>
      <c r="AM285" s="358"/>
      <c r="AN285" s="358"/>
      <c r="AO285" s="358"/>
      <c r="AP285" s="358"/>
    </row>
    <row r="286" spans="1:42" s="320" customFormat="1" ht="15" outlineLevel="2" x14ac:dyDescent="0.25">
      <c r="A286" s="321"/>
      <c r="B286" s="324" t="s">
        <v>431</v>
      </c>
      <c r="C286" s="315" t="s">
        <v>33</v>
      </c>
      <c r="D286" s="310">
        <f>23432.32/1000</f>
        <v>23.43</v>
      </c>
      <c r="E286" s="310"/>
      <c r="F286" s="325"/>
      <c r="G286" s="14"/>
      <c r="H286" s="14"/>
      <c r="I286" s="14"/>
      <c r="J286" s="14"/>
      <c r="K286" s="869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  <c r="AA286" s="358"/>
      <c r="AB286" s="358"/>
      <c r="AC286" s="358"/>
      <c r="AD286" s="358"/>
      <c r="AE286" s="358"/>
      <c r="AF286" s="358"/>
      <c r="AG286" s="358"/>
      <c r="AH286" s="358"/>
      <c r="AI286" s="358"/>
      <c r="AJ286" s="358"/>
      <c r="AK286" s="358"/>
      <c r="AL286" s="358"/>
      <c r="AM286" s="358"/>
      <c r="AN286" s="358"/>
      <c r="AO286" s="358"/>
      <c r="AP286" s="358"/>
    </row>
    <row r="287" spans="1:42" s="320" customFormat="1" ht="15" outlineLevel="2" x14ac:dyDescent="0.25">
      <c r="A287" s="321"/>
      <c r="B287" s="54" t="s">
        <v>441</v>
      </c>
      <c r="C287" s="315" t="s">
        <v>33</v>
      </c>
      <c r="D287" s="244">
        <v>0.02</v>
      </c>
      <c r="E287" s="244"/>
      <c r="F287" s="325"/>
      <c r="G287" s="14"/>
      <c r="H287" s="14"/>
      <c r="I287" s="14"/>
      <c r="J287" s="14"/>
      <c r="K287" s="870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  <c r="AA287" s="358"/>
      <c r="AB287" s="358"/>
      <c r="AC287" s="358"/>
      <c r="AD287" s="358"/>
      <c r="AE287" s="358"/>
      <c r="AF287" s="358"/>
      <c r="AG287" s="358"/>
      <c r="AH287" s="358"/>
      <c r="AI287" s="358"/>
      <c r="AJ287" s="358"/>
      <c r="AK287" s="358"/>
      <c r="AL287" s="358"/>
      <c r="AM287" s="358"/>
      <c r="AN287" s="358"/>
      <c r="AO287" s="358"/>
      <c r="AP287" s="358"/>
    </row>
    <row r="288" spans="1:42" s="320" customFormat="1" ht="15" outlineLevel="1" x14ac:dyDescent="0.25">
      <c r="A288" s="413"/>
      <c r="B288" s="259" t="s">
        <v>666</v>
      </c>
      <c r="C288" s="316" t="s">
        <v>0</v>
      </c>
      <c r="D288" s="317">
        <f>D289</f>
        <v>681</v>
      </c>
      <c r="E288" s="14"/>
      <c r="F288" s="14"/>
      <c r="G288" s="14"/>
      <c r="H288" s="14"/>
      <c r="I288" s="14"/>
      <c r="J288" s="210"/>
      <c r="K288" s="319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  <c r="AA288" s="358"/>
      <c r="AB288" s="358"/>
      <c r="AC288" s="358"/>
      <c r="AD288" s="358"/>
      <c r="AE288" s="358"/>
      <c r="AF288" s="358"/>
      <c r="AG288" s="358"/>
      <c r="AH288" s="358"/>
      <c r="AI288" s="358"/>
      <c r="AJ288" s="358"/>
      <c r="AK288" s="358"/>
      <c r="AL288" s="358"/>
      <c r="AM288" s="358"/>
      <c r="AN288" s="358"/>
      <c r="AO288" s="358"/>
      <c r="AP288" s="358"/>
    </row>
    <row r="289" spans="1:42" s="320" customFormat="1" ht="15" outlineLevel="2" x14ac:dyDescent="0.25">
      <c r="A289" s="321"/>
      <c r="B289" s="323" t="s">
        <v>414</v>
      </c>
      <c r="C289" s="315" t="s">
        <v>0</v>
      </c>
      <c r="D289" s="318">
        <v>681</v>
      </c>
      <c r="E289" s="14"/>
      <c r="F289" s="14"/>
      <c r="G289" s="14"/>
      <c r="H289" s="14"/>
      <c r="I289" s="14"/>
      <c r="J289" s="14"/>
      <c r="K289" s="56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  <c r="AA289" s="358"/>
      <c r="AB289" s="358"/>
      <c r="AC289" s="358"/>
      <c r="AD289" s="358"/>
      <c r="AE289" s="358"/>
      <c r="AF289" s="358"/>
      <c r="AG289" s="358"/>
      <c r="AH289" s="358"/>
      <c r="AI289" s="358"/>
      <c r="AJ289" s="358"/>
      <c r="AK289" s="358"/>
      <c r="AL289" s="358"/>
      <c r="AM289" s="358"/>
      <c r="AN289" s="358"/>
      <c r="AO289" s="358"/>
      <c r="AP289" s="358"/>
    </row>
    <row r="290" spans="1:42" s="320" customFormat="1" ht="15" outlineLevel="1" x14ac:dyDescent="0.25">
      <c r="A290" s="409" t="s">
        <v>717</v>
      </c>
      <c r="B290" s="372" t="s">
        <v>443</v>
      </c>
      <c r="C290" s="372"/>
      <c r="D290" s="372"/>
      <c r="E290" s="383"/>
      <c r="F290" s="383"/>
      <c r="G290" s="383"/>
      <c r="H290" s="383"/>
      <c r="I290" s="383"/>
      <c r="J290" s="301"/>
      <c r="K290" s="319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  <c r="AA290" s="358"/>
      <c r="AB290" s="358"/>
      <c r="AC290" s="358"/>
      <c r="AD290" s="358"/>
      <c r="AE290" s="358"/>
      <c r="AF290" s="358"/>
      <c r="AG290" s="358"/>
      <c r="AH290" s="358"/>
      <c r="AI290" s="358"/>
      <c r="AJ290" s="358"/>
      <c r="AK290" s="358"/>
      <c r="AL290" s="358"/>
      <c r="AM290" s="358"/>
      <c r="AN290" s="358"/>
      <c r="AO290" s="358"/>
      <c r="AP290" s="358"/>
    </row>
    <row r="291" spans="1:42" s="320" customFormat="1" ht="15" outlineLevel="1" x14ac:dyDescent="0.25">
      <c r="A291" s="413"/>
      <c r="B291" s="259" t="s">
        <v>672</v>
      </c>
      <c r="C291" s="108" t="s">
        <v>0</v>
      </c>
      <c r="D291" s="111">
        <f>D292</f>
        <v>226</v>
      </c>
      <c r="E291" s="14"/>
      <c r="F291" s="14"/>
      <c r="G291" s="14"/>
      <c r="H291" s="14"/>
      <c r="I291" s="14"/>
      <c r="J291" s="294"/>
      <c r="K291" s="319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  <c r="AA291" s="358"/>
      <c r="AB291" s="358"/>
      <c r="AC291" s="358"/>
      <c r="AD291" s="358"/>
      <c r="AE291" s="358"/>
      <c r="AF291" s="358"/>
      <c r="AG291" s="358"/>
      <c r="AH291" s="358"/>
      <c r="AI291" s="358"/>
      <c r="AJ291" s="358"/>
      <c r="AK291" s="358"/>
      <c r="AL291" s="358"/>
      <c r="AM291" s="358"/>
      <c r="AN291" s="358"/>
      <c r="AO291" s="358"/>
      <c r="AP291" s="358"/>
    </row>
    <row r="292" spans="1:42" s="320" customFormat="1" ht="15" outlineLevel="2" x14ac:dyDescent="0.25">
      <c r="A292" s="321"/>
      <c r="B292" s="54" t="s">
        <v>662</v>
      </c>
      <c r="C292" s="244" t="s">
        <v>0</v>
      </c>
      <c r="D292" s="310">
        <v>226</v>
      </c>
      <c r="E292" s="14"/>
      <c r="F292" s="14"/>
      <c r="G292" s="14"/>
      <c r="H292" s="14"/>
      <c r="I292" s="14"/>
      <c r="J292" s="14"/>
      <c r="K292" s="319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  <c r="AA292" s="358"/>
      <c r="AB292" s="358"/>
      <c r="AC292" s="358"/>
      <c r="AD292" s="358"/>
      <c r="AE292" s="358"/>
      <c r="AF292" s="358"/>
      <c r="AG292" s="358"/>
      <c r="AH292" s="358"/>
      <c r="AI292" s="358"/>
      <c r="AJ292" s="358"/>
      <c r="AK292" s="358"/>
      <c r="AL292" s="358"/>
      <c r="AM292" s="358"/>
      <c r="AN292" s="358"/>
      <c r="AO292" s="358"/>
      <c r="AP292" s="358"/>
    </row>
    <row r="293" spans="1:42" s="320" customFormat="1" ht="15" outlineLevel="1" x14ac:dyDescent="0.25">
      <c r="A293" s="413"/>
      <c r="B293" s="322" t="s">
        <v>383</v>
      </c>
      <c r="C293" s="108" t="s">
        <v>0</v>
      </c>
      <c r="D293" s="111">
        <f>D294</f>
        <v>111</v>
      </c>
      <c r="E293" s="14"/>
      <c r="F293" s="14"/>
      <c r="G293" s="14"/>
      <c r="H293" s="14"/>
      <c r="I293" s="14"/>
      <c r="J293" s="14"/>
      <c r="K293" s="319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  <c r="AA293" s="358"/>
      <c r="AB293" s="358"/>
      <c r="AC293" s="358"/>
      <c r="AD293" s="358"/>
      <c r="AE293" s="358"/>
      <c r="AF293" s="358"/>
      <c r="AG293" s="358"/>
      <c r="AH293" s="358"/>
      <c r="AI293" s="358"/>
      <c r="AJ293" s="358"/>
      <c r="AK293" s="358"/>
      <c r="AL293" s="358"/>
      <c r="AM293" s="358"/>
      <c r="AN293" s="358"/>
      <c r="AO293" s="358"/>
      <c r="AP293" s="358"/>
    </row>
    <row r="294" spans="1:42" s="320" customFormat="1" ht="15" outlineLevel="2" x14ac:dyDescent="0.25">
      <c r="A294" s="321"/>
      <c r="B294" s="323" t="s">
        <v>384</v>
      </c>
      <c r="C294" s="244" t="s">
        <v>0</v>
      </c>
      <c r="D294" s="310">
        <v>111</v>
      </c>
      <c r="E294" s="54"/>
      <c r="F294" s="54"/>
      <c r="G294" s="54"/>
      <c r="H294" s="54"/>
      <c r="I294" s="54"/>
      <c r="J294" s="54"/>
      <c r="K294" s="319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  <c r="AA294" s="358"/>
      <c r="AB294" s="358"/>
      <c r="AC294" s="358"/>
      <c r="AD294" s="358"/>
      <c r="AE294" s="358"/>
      <c r="AF294" s="358"/>
      <c r="AG294" s="358"/>
      <c r="AH294" s="358"/>
      <c r="AI294" s="358"/>
      <c r="AJ294" s="358"/>
      <c r="AK294" s="358"/>
      <c r="AL294" s="358"/>
      <c r="AM294" s="358"/>
      <c r="AN294" s="358"/>
      <c r="AO294" s="358"/>
      <c r="AP294" s="358"/>
    </row>
    <row r="295" spans="1:42" s="320" customFormat="1" ht="15" outlineLevel="1" x14ac:dyDescent="0.25">
      <c r="A295" s="410"/>
      <c r="B295" s="322" t="s">
        <v>438</v>
      </c>
      <c r="C295" s="108" t="s">
        <v>390</v>
      </c>
      <c r="D295" s="111">
        <v>140</v>
      </c>
      <c r="E295" s="14"/>
      <c r="F295" s="14"/>
      <c r="G295" s="14"/>
      <c r="H295" s="14"/>
      <c r="I295" s="14"/>
      <c r="J295" s="294"/>
      <c r="K295" s="319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  <c r="AA295" s="358"/>
      <c r="AB295" s="358"/>
      <c r="AC295" s="358"/>
      <c r="AD295" s="358"/>
      <c r="AE295" s="358"/>
      <c r="AF295" s="358"/>
      <c r="AG295" s="358"/>
      <c r="AH295" s="358"/>
      <c r="AI295" s="358"/>
      <c r="AJ295" s="358"/>
      <c r="AK295" s="358"/>
      <c r="AL295" s="358"/>
      <c r="AM295" s="358"/>
      <c r="AN295" s="358"/>
      <c r="AO295" s="358"/>
      <c r="AP295" s="358"/>
    </row>
    <row r="296" spans="1:42" s="320" customFormat="1" ht="15" outlineLevel="2" x14ac:dyDescent="0.25">
      <c r="A296" s="57"/>
      <c r="B296" s="323" t="s">
        <v>391</v>
      </c>
      <c r="C296" s="244" t="s">
        <v>390</v>
      </c>
      <c r="D296" s="310">
        <v>140</v>
      </c>
      <c r="E296" s="360"/>
      <c r="F296" s="360"/>
      <c r="G296" s="360"/>
      <c r="H296" s="360"/>
      <c r="I296" s="360"/>
      <c r="J296" s="294"/>
      <c r="K296" s="319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  <c r="AA296" s="358"/>
      <c r="AB296" s="358"/>
      <c r="AC296" s="358"/>
      <c r="AD296" s="358"/>
      <c r="AE296" s="358"/>
      <c r="AF296" s="358"/>
      <c r="AG296" s="358"/>
      <c r="AH296" s="358"/>
      <c r="AI296" s="358"/>
      <c r="AJ296" s="358"/>
      <c r="AK296" s="358"/>
      <c r="AL296" s="358"/>
      <c r="AM296" s="358"/>
      <c r="AN296" s="358"/>
      <c r="AO296" s="358"/>
      <c r="AP296" s="358"/>
    </row>
    <row r="297" spans="1:42" s="320" customFormat="1" ht="15" outlineLevel="1" x14ac:dyDescent="0.25">
      <c r="A297" s="410"/>
      <c r="B297" s="259" t="s">
        <v>667</v>
      </c>
      <c r="C297" s="108" t="s">
        <v>33</v>
      </c>
      <c r="D297" s="311">
        <f>SUM(D298:D305)</f>
        <v>145.88300000000001</v>
      </c>
      <c r="E297" s="14"/>
      <c r="F297" s="14"/>
      <c r="G297" s="14"/>
      <c r="H297" s="14"/>
      <c r="I297" s="14"/>
      <c r="J297" s="210"/>
      <c r="K297" s="319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  <c r="AA297" s="358"/>
      <c r="AB297" s="358"/>
      <c r="AC297" s="358"/>
      <c r="AD297" s="358"/>
      <c r="AE297" s="358"/>
      <c r="AF297" s="358"/>
      <c r="AG297" s="358"/>
      <c r="AH297" s="358"/>
      <c r="AI297" s="358"/>
      <c r="AJ297" s="358"/>
      <c r="AK297" s="358"/>
      <c r="AL297" s="358"/>
      <c r="AM297" s="358"/>
      <c r="AN297" s="358"/>
      <c r="AO297" s="358"/>
      <c r="AP297" s="358"/>
    </row>
    <row r="298" spans="1:42" s="320" customFormat="1" ht="15" outlineLevel="2" x14ac:dyDescent="0.25">
      <c r="A298" s="321"/>
      <c r="B298" s="324" t="s">
        <v>401</v>
      </c>
      <c r="C298" s="315" t="s">
        <v>33</v>
      </c>
      <c r="D298" s="312">
        <f>15160.56/1000</f>
        <v>15.161</v>
      </c>
      <c r="E298" s="310"/>
      <c r="F298" s="325"/>
      <c r="G298" s="14"/>
      <c r="H298" s="14"/>
      <c r="I298" s="14"/>
      <c r="J298" s="294"/>
      <c r="K298" s="319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  <c r="AA298" s="358"/>
      <c r="AB298" s="358"/>
      <c r="AC298" s="358"/>
      <c r="AD298" s="358"/>
      <c r="AE298" s="358"/>
      <c r="AF298" s="358"/>
      <c r="AG298" s="358"/>
      <c r="AH298" s="358"/>
      <c r="AI298" s="358"/>
      <c r="AJ298" s="358"/>
      <c r="AK298" s="358"/>
      <c r="AL298" s="358"/>
      <c r="AM298" s="358"/>
      <c r="AN298" s="358"/>
      <c r="AO298" s="358"/>
      <c r="AP298" s="358"/>
    </row>
    <row r="299" spans="1:42" s="320" customFormat="1" ht="15" outlineLevel="2" x14ac:dyDescent="0.25">
      <c r="A299" s="321"/>
      <c r="B299" s="324" t="s">
        <v>426</v>
      </c>
      <c r="C299" s="315" t="s">
        <v>33</v>
      </c>
      <c r="D299" s="312">
        <f>816.52/1000</f>
        <v>0.81699999999999995</v>
      </c>
      <c r="E299" s="310"/>
      <c r="F299" s="325"/>
      <c r="G299" s="14"/>
      <c r="H299" s="14"/>
      <c r="I299" s="14"/>
      <c r="J299" s="294"/>
      <c r="K299" s="319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  <c r="AA299" s="358"/>
      <c r="AB299" s="358"/>
      <c r="AC299" s="358"/>
      <c r="AD299" s="358"/>
      <c r="AE299" s="358"/>
      <c r="AF299" s="358"/>
      <c r="AG299" s="358"/>
      <c r="AH299" s="358"/>
      <c r="AI299" s="358"/>
      <c r="AJ299" s="358"/>
      <c r="AK299" s="358"/>
      <c r="AL299" s="358"/>
      <c r="AM299" s="358"/>
      <c r="AN299" s="358"/>
      <c r="AO299" s="358"/>
      <c r="AP299" s="358"/>
    </row>
    <row r="300" spans="1:42" s="320" customFormat="1" ht="15" outlineLevel="2" x14ac:dyDescent="0.25">
      <c r="A300" s="321"/>
      <c r="B300" s="324" t="s">
        <v>440</v>
      </c>
      <c r="C300" s="315" t="s">
        <v>33</v>
      </c>
      <c r="D300" s="312">
        <f>95231.85/1000</f>
        <v>95.231999999999999</v>
      </c>
      <c r="E300" s="310"/>
      <c r="F300" s="325"/>
      <c r="G300" s="14"/>
      <c r="H300" s="14"/>
      <c r="I300" s="14"/>
      <c r="J300" s="294"/>
      <c r="K300" s="319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  <c r="AA300" s="358"/>
      <c r="AB300" s="358"/>
      <c r="AC300" s="358"/>
      <c r="AD300" s="358"/>
      <c r="AE300" s="358"/>
      <c r="AF300" s="358"/>
      <c r="AG300" s="358"/>
      <c r="AH300" s="358"/>
      <c r="AI300" s="358"/>
      <c r="AJ300" s="358"/>
      <c r="AK300" s="358"/>
      <c r="AL300" s="358"/>
      <c r="AM300" s="358"/>
      <c r="AN300" s="358"/>
      <c r="AO300" s="358"/>
      <c r="AP300" s="358"/>
    </row>
    <row r="301" spans="1:42" s="320" customFormat="1" ht="15" outlineLevel="2" x14ac:dyDescent="0.25">
      <c r="A301" s="321"/>
      <c r="B301" s="324" t="s">
        <v>428</v>
      </c>
      <c r="C301" s="315" t="s">
        <v>33</v>
      </c>
      <c r="D301" s="312">
        <f>4538.62/1000</f>
        <v>4.5389999999999997</v>
      </c>
      <c r="E301" s="310"/>
      <c r="F301" s="325"/>
      <c r="G301" s="14"/>
      <c r="H301" s="14"/>
      <c r="I301" s="14"/>
      <c r="J301" s="294"/>
      <c r="K301" s="319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  <c r="AA301" s="358"/>
      <c r="AB301" s="358"/>
      <c r="AC301" s="358"/>
      <c r="AD301" s="358"/>
      <c r="AE301" s="358"/>
      <c r="AF301" s="358"/>
      <c r="AG301" s="358"/>
      <c r="AH301" s="358"/>
      <c r="AI301" s="358"/>
      <c r="AJ301" s="358"/>
      <c r="AK301" s="358"/>
      <c r="AL301" s="358"/>
      <c r="AM301" s="358"/>
      <c r="AN301" s="358"/>
      <c r="AO301" s="358"/>
      <c r="AP301" s="358"/>
    </row>
    <row r="302" spans="1:42" s="320" customFormat="1" ht="15" outlineLevel="2" x14ac:dyDescent="0.25">
      <c r="A302" s="321"/>
      <c r="B302" s="324" t="s">
        <v>429</v>
      </c>
      <c r="C302" s="315" t="s">
        <v>33</v>
      </c>
      <c r="D302" s="312">
        <f>10942.29/1000</f>
        <v>10.942</v>
      </c>
      <c r="E302" s="310"/>
      <c r="F302" s="325"/>
      <c r="G302" s="14"/>
      <c r="H302" s="14"/>
      <c r="I302" s="14"/>
      <c r="J302" s="294"/>
      <c r="K302" s="319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  <c r="AA302" s="358"/>
      <c r="AB302" s="358"/>
      <c r="AC302" s="358"/>
      <c r="AD302" s="358"/>
      <c r="AE302" s="358"/>
      <c r="AF302" s="358"/>
      <c r="AG302" s="358"/>
      <c r="AH302" s="358"/>
      <c r="AI302" s="358"/>
      <c r="AJ302" s="358"/>
      <c r="AK302" s="358"/>
      <c r="AL302" s="358"/>
      <c r="AM302" s="358"/>
      <c r="AN302" s="358"/>
      <c r="AO302" s="358"/>
      <c r="AP302" s="358"/>
    </row>
    <row r="303" spans="1:42" s="320" customFormat="1" ht="15" outlineLevel="2" x14ac:dyDescent="0.25">
      <c r="A303" s="321"/>
      <c r="B303" s="324" t="s">
        <v>408</v>
      </c>
      <c r="C303" s="315" t="s">
        <v>33</v>
      </c>
      <c r="D303" s="312">
        <f>17985.66/1000</f>
        <v>17.986000000000001</v>
      </c>
      <c r="E303" s="310"/>
      <c r="F303" s="325"/>
      <c r="G303" s="14"/>
      <c r="H303" s="14"/>
      <c r="I303" s="14"/>
      <c r="J303" s="294"/>
      <c r="K303" s="319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  <c r="AA303" s="358"/>
      <c r="AB303" s="358"/>
      <c r="AC303" s="358"/>
      <c r="AD303" s="358"/>
      <c r="AE303" s="358"/>
      <c r="AF303" s="358"/>
      <c r="AG303" s="358"/>
      <c r="AH303" s="358"/>
      <c r="AI303" s="358"/>
      <c r="AJ303" s="358"/>
      <c r="AK303" s="358"/>
      <c r="AL303" s="358"/>
      <c r="AM303" s="358"/>
      <c r="AN303" s="358"/>
      <c r="AO303" s="358"/>
      <c r="AP303" s="358"/>
    </row>
    <row r="304" spans="1:42" s="320" customFormat="1" ht="15" outlineLevel="2" x14ac:dyDescent="0.25">
      <c r="A304" s="321"/>
      <c r="B304" s="324" t="s">
        <v>431</v>
      </c>
      <c r="C304" s="315" t="s">
        <v>33</v>
      </c>
      <c r="D304" s="312">
        <f>1175.66/1000</f>
        <v>1.1759999999999999</v>
      </c>
      <c r="E304" s="310"/>
      <c r="F304" s="325"/>
      <c r="G304" s="14"/>
      <c r="H304" s="14"/>
      <c r="I304" s="14"/>
      <c r="J304" s="294"/>
      <c r="K304" s="319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  <c r="AA304" s="358"/>
      <c r="AB304" s="358"/>
      <c r="AC304" s="358"/>
      <c r="AD304" s="358"/>
      <c r="AE304" s="358"/>
      <c r="AF304" s="358"/>
      <c r="AG304" s="358"/>
      <c r="AH304" s="358"/>
      <c r="AI304" s="358"/>
      <c r="AJ304" s="358"/>
      <c r="AK304" s="358"/>
      <c r="AL304" s="358"/>
      <c r="AM304" s="358"/>
      <c r="AN304" s="358"/>
      <c r="AO304" s="358"/>
      <c r="AP304" s="358"/>
    </row>
    <row r="305" spans="1:42" s="320" customFormat="1" ht="15" outlineLevel="2" x14ac:dyDescent="0.25">
      <c r="A305" s="321"/>
      <c r="B305" s="54" t="s">
        <v>441</v>
      </c>
      <c r="C305" s="315" t="s">
        <v>33</v>
      </c>
      <c r="D305" s="312">
        <v>0.03</v>
      </c>
      <c r="E305" s="244"/>
      <c r="F305" s="325"/>
      <c r="G305" s="14"/>
      <c r="H305" s="14"/>
      <c r="I305" s="14"/>
      <c r="J305" s="294"/>
      <c r="K305" s="319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  <c r="AA305" s="358"/>
      <c r="AB305" s="358"/>
      <c r="AC305" s="358"/>
      <c r="AD305" s="358"/>
      <c r="AE305" s="358"/>
      <c r="AF305" s="358"/>
      <c r="AG305" s="358"/>
      <c r="AH305" s="358"/>
      <c r="AI305" s="358"/>
      <c r="AJ305" s="358"/>
      <c r="AK305" s="358"/>
      <c r="AL305" s="358"/>
      <c r="AM305" s="358"/>
      <c r="AN305" s="358"/>
      <c r="AO305" s="358"/>
      <c r="AP305" s="358"/>
    </row>
    <row r="306" spans="1:42" s="320" customFormat="1" ht="15" outlineLevel="1" x14ac:dyDescent="0.25">
      <c r="A306" s="413"/>
      <c r="B306" s="259" t="s">
        <v>668</v>
      </c>
      <c r="C306" s="316" t="s">
        <v>0</v>
      </c>
      <c r="D306" s="111">
        <f>D307</f>
        <v>1389</v>
      </c>
      <c r="E306" s="14"/>
      <c r="F306" s="14"/>
      <c r="G306" s="14"/>
      <c r="H306" s="14"/>
      <c r="I306" s="14"/>
      <c r="J306" s="210"/>
      <c r="K306" s="319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  <c r="AA306" s="358"/>
      <c r="AB306" s="358"/>
      <c r="AC306" s="358"/>
      <c r="AD306" s="358"/>
      <c r="AE306" s="358"/>
      <c r="AF306" s="358"/>
      <c r="AG306" s="358"/>
      <c r="AH306" s="358"/>
      <c r="AI306" s="358"/>
      <c r="AJ306" s="358"/>
      <c r="AK306" s="358"/>
      <c r="AL306" s="358"/>
      <c r="AM306" s="358"/>
      <c r="AN306" s="358"/>
      <c r="AO306" s="358"/>
      <c r="AP306" s="358"/>
    </row>
    <row r="307" spans="1:42" s="320" customFormat="1" ht="15" outlineLevel="2" x14ac:dyDescent="0.25">
      <c r="A307" s="321"/>
      <c r="B307" s="323" t="s">
        <v>414</v>
      </c>
      <c r="C307" s="315" t="s">
        <v>0</v>
      </c>
      <c r="D307" s="310">
        <v>1389</v>
      </c>
      <c r="E307" s="14"/>
      <c r="F307" s="14"/>
      <c r="G307" s="14"/>
      <c r="H307" s="14"/>
      <c r="I307" s="14"/>
      <c r="J307" s="294"/>
      <c r="K307" s="319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  <c r="AA307" s="358"/>
      <c r="AB307" s="358"/>
      <c r="AC307" s="358"/>
      <c r="AD307" s="358"/>
      <c r="AE307" s="358"/>
      <c r="AF307" s="358"/>
      <c r="AG307" s="358"/>
      <c r="AH307" s="358"/>
      <c r="AI307" s="358"/>
      <c r="AJ307" s="358"/>
      <c r="AK307" s="358"/>
      <c r="AL307" s="358"/>
      <c r="AM307" s="358"/>
      <c r="AN307" s="358"/>
      <c r="AO307" s="358"/>
      <c r="AP307" s="358"/>
    </row>
    <row r="308" spans="1:42" s="34" customFormat="1" ht="38.25" x14ac:dyDescent="0.25">
      <c r="A308" s="379" t="s">
        <v>582</v>
      </c>
      <c r="B308" s="376" t="s">
        <v>123</v>
      </c>
      <c r="C308" s="395" t="s">
        <v>33</v>
      </c>
      <c r="D308" s="414">
        <f>SUM(D309:D312)</f>
        <v>96.739000000000004</v>
      </c>
      <c r="E308" s="415"/>
      <c r="F308" s="415"/>
      <c r="G308" s="416"/>
      <c r="H308" s="416"/>
      <c r="I308" s="416"/>
      <c r="J308" s="417" t="s">
        <v>673</v>
      </c>
      <c r="K308" s="28"/>
      <c r="L308" s="341"/>
      <c r="M308" s="341"/>
      <c r="N308" s="341"/>
      <c r="O308" s="341"/>
      <c r="P308" s="341"/>
      <c r="Q308" s="341"/>
      <c r="R308" s="341"/>
      <c r="S308" s="341"/>
      <c r="T308" s="341"/>
      <c r="U308" s="341"/>
      <c r="V308" s="341"/>
      <c r="W308" s="341"/>
      <c r="X308" s="341"/>
      <c r="Y308" s="341"/>
      <c r="Z308" s="341"/>
      <c r="AA308" s="341"/>
      <c r="AB308" s="341"/>
      <c r="AC308" s="341"/>
      <c r="AD308" s="341"/>
      <c r="AE308" s="341"/>
      <c r="AF308" s="341"/>
      <c r="AG308" s="341"/>
      <c r="AH308" s="341"/>
      <c r="AI308" s="341"/>
      <c r="AJ308" s="341"/>
      <c r="AK308" s="341"/>
      <c r="AL308" s="341"/>
      <c r="AM308" s="341"/>
      <c r="AN308" s="341"/>
      <c r="AO308" s="341"/>
      <c r="AP308" s="341"/>
    </row>
    <row r="309" spans="1:42" s="34" customFormat="1" outlineLevel="1" x14ac:dyDescent="0.25">
      <c r="A309" s="332" t="s">
        <v>417</v>
      </c>
      <c r="B309" s="327" t="s">
        <v>13</v>
      </c>
      <c r="C309" s="24" t="s">
        <v>33</v>
      </c>
      <c r="D309" s="330">
        <f>11782.1/1000</f>
        <v>11.782</v>
      </c>
      <c r="E309" s="23"/>
      <c r="F309" s="23"/>
      <c r="G309" s="23"/>
      <c r="H309" s="23"/>
      <c r="I309" s="23"/>
      <c r="J309" s="328" t="s">
        <v>40</v>
      </c>
      <c r="K309" s="753" t="s">
        <v>631</v>
      </c>
      <c r="L309" s="341"/>
      <c r="M309" s="341"/>
      <c r="N309" s="341"/>
      <c r="O309" s="341"/>
      <c r="P309" s="341"/>
      <c r="Q309" s="341"/>
      <c r="R309" s="341"/>
      <c r="S309" s="341"/>
      <c r="T309" s="341"/>
      <c r="U309" s="341"/>
      <c r="V309" s="341"/>
      <c r="W309" s="341"/>
      <c r="X309" s="341"/>
      <c r="Y309" s="341"/>
      <c r="Z309" s="341"/>
      <c r="AA309" s="341"/>
      <c r="AB309" s="341"/>
      <c r="AC309" s="341"/>
      <c r="AD309" s="341"/>
      <c r="AE309" s="341"/>
      <c r="AF309" s="341"/>
      <c r="AG309" s="341"/>
      <c r="AH309" s="341"/>
      <c r="AI309" s="341"/>
      <c r="AJ309" s="341"/>
      <c r="AK309" s="341"/>
      <c r="AL309" s="341"/>
      <c r="AM309" s="341"/>
      <c r="AN309" s="341"/>
      <c r="AO309" s="341"/>
      <c r="AP309" s="341"/>
    </row>
    <row r="310" spans="1:42" s="34" customFormat="1" outlineLevel="1" x14ac:dyDescent="0.25">
      <c r="A310" s="332" t="s">
        <v>418</v>
      </c>
      <c r="B310" s="327" t="s">
        <v>14</v>
      </c>
      <c r="C310" s="24" t="s">
        <v>33</v>
      </c>
      <c r="D310" s="330">
        <f>46848.5/1000</f>
        <v>46.848999999999997</v>
      </c>
      <c r="E310" s="23"/>
      <c r="F310" s="23"/>
      <c r="G310" s="23"/>
      <c r="H310" s="23"/>
      <c r="I310" s="23"/>
      <c r="J310" s="328" t="s">
        <v>40</v>
      </c>
      <c r="K310" s="754"/>
      <c r="L310" s="341"/>
      <c r="M310" s="341"/>
      <c r="N310" s="341"/>
      <c r="O310" s="341"/>
      <c r="P310" s="341"/>
      <c r="Q310" s="341"/>
      <c r="R310" s="341"/>
      <c r="S310" s="341"/>
      <c r="T310" s="341"/>
      <c r="U310" s="341"/>
      <c r="V310" s="341"/>
      <c r="W310" s="341"/>
      <c r="X310" s="341"/>
      <c r="Y310" s="341"/>
      <c r="Z310" s="341"/>
      <c r="AA310" s="341"/>
      <c r="AB310" s="341"/>
      <c r="AC310" s="341"/>
      <c r="AD310" s="341"/>
      <c r="AE310" s="341"/>
      <c r="AF310" s="341"/>
      <c r="AG310" s="341"/>
      <c r="AH310" s="341"/>
      <c r="AI310" s="341"/>
      <c r="AJ310" s="341"/>
      <c r="AK310" s="341"/>
      <c r="AL310" s="341"/>
      <c r="AM310" s="341"/>
      <c r="AN310" s="341"/>
      <c r="AO310" s="341"/>
      <c r="AP310" s="341"/>
    </row>
    <row r="311" spans="1:42" s="63" customFormat="1" outlineLevel="1" x14ac:dyDescent="0.25">
      <c r="A311" s="332" t="s">
        <v>421</v>
      </c>
      <c r="B311" s="327" t="s">
        <v>15</v>
      </c>
      <c r="C311" s="24" t="s">
        <v>33</v>
      </c>
      <c r="D311" s="330">
        <f>16687.1/1000</f>
        <v>16.687000000000001</v>
      </c>
      <c r="E311" s="23"/>
      <c r="F311" s="23"/>
      <c r="G311" s="23"/>
      <c r="H311" s="23"/>
      <c r="I311" s="23"/>
      <c r="J311" s="328" t="s">
        <v>40</v>
      </c>
      <c r="K311" s="755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8"/>
      <c r="AN311" s="338"/>
      <c r="AO311" s="338"/>
      <c r="AP311" s="338"/>
    </row>
    <row r="312" spans="1:42" s="63" customFormat="1" outlineLevel="1" collapsed="1" x14ac:dyDescent="0.25">
      <c r="A312" s="332" t="s">
        <v>422</v>
      </c>
      <c r="B312" s="327" t="s">
        <v>34</v>
      </c>
      <c r="C312" s="24" t="s">
        <v>33</v>
      </c>
      <c r="D312" s="330">
        <f>SUM(D313:D317)</f>
        <v>21.420999999999999</v>
      </c>
      <c r="E312" s="23"/>
      <c r="F312" s="23"/>
      <c r="G312" s="23"/>
      <c r="H312" s="23"/>
      <c r="I312" s="23"/>
      <c r="J312" s="329"/>
      <c r="K312" s="65"/>
      <c r="L312" s="338"/>
      <c r="M312" s="338"/>
      <c r="N312" s="338"/>
      <c r="O312" s="338"/>
      <c r="P312" s="338"/>
      <c r="Q312" s="338"/>
      <c r="R312" s="338"/>
      <c r="S312" s="338"/>
      <c r="T312" s="338"/>
      <c r="U312" s="338"/>
      <c r="V312" s="338"/>
      <c r="W312" s="338"/>
      <c r="X312" s="338"/>
      <c r="Y312" s="338"/>
      <c r="Z312" s="338"/>
      <c r="AA312" s="338"/>
      <c r="AB312" s="338"/>
      <c r="AC312" s="338"/>
      <c r="AD312" s="338"/>
      <c r="AE312" s="338"/>
      <c r="AF312" s="338"/>
      <c r="AG312" s="338"/>
      <c r="AH312" s="338"/>
      <c r="AI312" s="338"/>
      <c r="AJ312" s="338"/>
      <c r="AK312" s="338"/>
      <c r="AL312" s="338"/>
      <c r="AM312" s="338"/>
      <c r="AN312" s="338"/>
      <c r="AO312" s="338"/>
      <c r="AP312" s="338"/>
    </row>
    <row r="313" spans="1:42" s="27" customFormat="1" outlineLevel="1" x14ac:dyDescent="0.25">
      <c r="A313" s="333"/>
      <c r="B313" s="16" t="s">
        <v>35</v>
      </c>
      <c r="C313" s="17" t="s">
        <v>33</v>
      </c>
      <c r="D313" s="331">
        <f>31.44/1000</f>
        <v>3.1E-2</v>
      </c>
      <c r="E313" s="13"/>
      <c r="F313" s="13"/>
      <c r="G313" s="13"/>
      <c r="H313" s="13"/>
      <c r="I313" s="13"/>
      <c r="J313" s="292"/>
      <c r="K313" s="56"/>
      <c r="L313" s="180"/>
      <c r="M313" s="180"/>
      <c r="N313" s="180"/>
      <c r="O313" s="180"/>
      <c r="P313" s="180"/>
      <c r="Q313" s="180"/>
      <c r="R313" s="180"/>
      <c r="S313" s="180"/>
      <c r="T313" s="180"/>
      <c r="U313" s="180"/>
      <c r="V313" s="180"/>
      <c r="W313" s="180"/>
      <c r="X313" s="180"/>
      <c r="Y313" s="180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</row>
    <row r="314" spans="1:42" s="27" customFormat="1" outlineLevel="1" x14ac:dyDescent="0.25">
      <c r="A314" s="333"/>
      <c r="B314" s="76" t="s">
        <v>36</v>
      </c>
      <c r="C314" s="17" t="s">
        <v>33</v>
      </c>
      <c r="D314" s="331">
        <f>1113.8/1000</f>
        <v>1.1140000000000001</v>
      </c>
      <c r="E314" s="13"/>
      <c r="F314" s="13"/>
      <c r="G314" s="13"/>
      <c r="H314" s="13"/>
      <c r="I314" s="13"/>
      <c r="J314" s="292"/>
      <c r="K314" s="56"/>
      <c r="L314" s="180"/>
      <c r="M314" s="180"/>
      <c r="N314" s="180"/>
      <c r="O314" s="180"/>
      <c r="P314" s="180"/>
      <c r="Q314" s="180"/>
      <c r="R314" s="180"/>
      <c r="S314" s="180"/>
      <c r="T314" s="180"/>
      <c r="U314" s="180"/>
      <c r="V314" s="180"/>
      <c r="W314" s="180"/>
      <c r="X314" s="180"/>
      <c r="Y314" s="180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</row>
    <row r="315" spans="1:42" s="27" customFormat="1" outlineLevel="1" x14ac:dyDescent="0.25">
      <c r="A315" s="333"/>
      <c r="B315" s="76" t="s">
        <v>37</v>
      </c>
      <c r="C315" s="17" t="s">
        <v>33</v>
      </c>
      <c r="D315" s="331">
        <f>15915.31/1000</f>
        <v>15.914999999999999</v>
      </c>
      <c r="E315" s="13"/>
      <c r="F315" s="13"/>
      <c r="G315" s="13"/>
      <c r="H315" s="13"/>
      <c r="I315" s="13"/>
      <c r="J315" s="292"/>
      <c r="K315" s="56"/>
      <c r="L315" s="180"/>
      <c r="M315" s="180"/>
      <c r="N315" s="180"/>
      <c r="O315" s="180"/>
      <c r="P315" s="180"/>
      <c r="Q315" s="180"/>
      <c r="R315" s="180"/>
      <c r="S315" s="180"/>
      <c r="T315" s="180"/>
      <c r="U315" s="180"/>
      <c r="V315" s="180"/>
      <c r="W315" s="180"/>
      <c r="X315" s="180"/>
      <c r="Y315" s="18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</row>
    <row r="316" spans="1:42" s="27" customFormat="1" outlineLevel="1" x14ac:dyDescent="0.25">
      <c r="A316" s="333"/>
      <c r="B316" s="76" t="s">
        <v>38</v>
      </c>
      <c r="C316" s="17" t="s">
        <v>33</v>
      </c>
      <c r="D316" s="331">
        <f>3052.08/1000</f>
        <v>3.052</v>
      </c>
      <c r="E316" s="13"/>
      <c r="F316" s="13"/>
      <c r="G316" s="13"/>
      <c r="H316" s="13"/>
      <c r="I316" s="13"/>
      <c r="J316" s="292"/>
      <c r="K316" s="56"/>
      <c r="L316" s="180"/>
      <c r="M316" s="180"/>
      <c r="N316" s="180"/>
      <c r="O316" s="180"/>
      <c r="P316" s="180"/>
      <c r="Q316" s="180"/>
      <c r="R316" s="180"/>
      <c r="S316" s="180"/>
      <c r="T316" s="180"/>
      <c r="U316" s="180"/>
      <c r="V316" s="180"/>
      <c r="W316" s="180"/>
      <c r="X316" s="180"/>
      <c r="Y316" s="18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</row>
    <row r="317" spans="1:42" s="27" customFormat="1" outlineLevel="1" x14ac:dyDescent="0.25">
      <c r="A317" s="333"/>
      <c r="B317" s="16" t="s">
        <v>39</v>
      </c>
      <c r="C317" s="17" t="s">
        <v>33</v>
      </c>
      <c r="D317" s="331">
        <f>1309.3/1000</f>
        <v>1.3089999999999999</v>
      </c>
      <c r="E317" s="13"/>
      <c r="F317" s="13"/>
      <c r="G317" s="13"/>
      <c r="H317" s="13"/>
      <c r="I317" s="13"/>
      <c r="J317" s="292"/>
      <c r="K317" s="56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180"/>
      <c r="X317" s="180"/>
      <c r="Y317" s="18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</row>
    <row r="318" spans="1:42" s="338" customFormat="1" ht="25.5" x14ac:dyDescent="0.25">
      <c r="A318" s="379" t="s">
        <v>87</v>
      </c>
      <c r="B318" s="376" t="s">
        <v>735</v>
      </c>
      <c r="C318" s="395" t="s">
        <v>0</v>
      </c>
      <c r="D318" s="418">
        <v>35.200000000000003</v>
      </c>
      <c r="E318" s="419"/>
      <c r="F318" s="419"/>
      <c r="G318" s="419"/>
      <c r="H318" s="419"/>
      <c r="I318" s="419"/>
      <c r="J318" s="419"/>
      <c r="K318" s="337"/>
    </row>
    <row r="319" spans="1:42" s="34" customFormat="1" x14ac:dyDescent="0.25">
      <c r="A319" s="7"/>
      <c r="B319" s="128" t="s">
        <v>714</v>
      </c>
      <c r="C319" s="8"/>
      <c r="D319" s="137"/>
      <c r="E319" s="9"/>
      <c r="F319" s="9"/>
      <c r="G319" s="9"/>
      <c r="H319" s="9"/>
      <c r="I319" s="9"/>
      <c r="J319" s="302"/>
      <c r="K319" s="28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1"/>
      <c r="AC319" s="341"/>
      <c r="AD319" s="341"/>
      <c r="AE319" s="341"/>
      <c r="AF319" s="341"/>
      <c r="AG319" s="341"/>
      <c r="AH319" s="341"/>
      <c r="AI319" s="341"/>
      <c r="AJ319" s="341"/>
      <c r="AK319" s="341"/>
      <c r="AL319" s="341"/>
      <c r="AM319" s="341"/>
      <c r="AN319" s="341"/>
      <c r="AO319" s="341"/>
      <c r="AP319" s="341"/>
    </row>
    <row r="320" spans="1:42" s="34" customFormat="1" x14ac:dyDescent="0.25">
      <c r="A320" s="375" t="s">
        <v>7</v>
      </c>
      <c r="B320" s="376" t="s">
        <v>704</v>
      </c>
      <c r="C320" s="395" t="s">
        <v>0</v>
      </c>
      <c r="D320" s="396">
        <f>D324+D328</f>
        <v>2600</v>
      </c>
      <c r="E320" s="377"/>
      <c r="F320" s="377"/>
      <c r="G320" s="377"/>
      <c r="H320" s="377"/>
      <c r="I320" s="377"/>
      <c r="J320" s="378"/>
      <c r="K320" s="28"/>
      <c r="L320" s="341"/>
      <c r="M320" s="341"/>
      <c r="N320" s="341"/>
      <c r="O320" s="341"/>
      <c r="P320" s="341"/>
      <c r="Q320" s="341"/>
      <c r="R320" s="341"/>
      <c r="S320" s="341"/>
      <c r="T320" s="341"/>
      <c r="U320" s="341"/>
      <c r="V320" s="341"/>
      <c r="W320" s="341"/>
      <c r="X320" s="341"/>
      <c r="Y320" s="341"/>
      <c r="Z320" s="341"/>
      <c r="AA320" s="341"/>
      <c r="AB320" s="341"/>
      <c r="AC320" s="341"/>
      <c r="AD320" s="341"/>
      <c r="AE320" s="341"/>
      <c r="AF320" s="341"/>
      <c r="AG320" s="341"/>
      <c r="AH320" s="341"/>
      <c r="AI320" s="341"/>
      <c r="AJ320" s="341"/>
      <c r="AK320" s="341"/>
      <c r="AL320" s="341"/>
      <c r="AM320" s="341"/>
      <c r="AN320" s="341"/>
      <c r="AO320" s="341"/>
      <c r="AP320" s="341"/>
    </row>
    <row r="321" spans="1:42" s="341" customFormat="1" x14ac:dyDescent="0.25">
      <c r="A321" s="120" t="s">
        <v>27</v>
      </c>
      <c r="B321" s="119" t="s">
        <v>710</v>
      </c>
      <c r="C321" s="121" t="str">
        <f>C324</f>
        <v>м3</v>
      </c>
      <c r="D321" s="394">
        <f>D324</f>
        <v>770.5</v>
      </c>
      <c r="E321" s="126"/>
      <c r="F321" s="126"/>
      <c r="G321" s="126"/>
      <c r="H321" s="126"/>
      <c r="I321" s="126"/>
      <c r="J321" s="373"/>
      <c r="K321" s="342"/>
    </row>
    <row r="322" spans="1:42" s="341" customFormat="1" x14ac:dyDescent="0.25">
      <c r="A322" s="334"/>
      <c r="B322" s="335" t="s">
        <v>707</v>
      </c>
      <c r="C322" s="336" t="s">
        <v>33</v>
      </c>
      <c r="D322" s="247">
        <f>D338+D367+D398</f>
        <v>0.92</v>
      </c>
      <c r="E322" s="345"/>
      <c r="F322" s="345"/>
      <c r="G322" s="345"/>
      <c r="H322" s="345"/>
      <c r="I322" s="345"/>
      <c r="J322" s="297"/>
      <c r="K322" s="342"/>
    </row>
    <row r="323" spans="1:42" s="341" customFormat="1" x14ac:dyDescent="0.25">
      <c r="A323" s="334"/>
      <c r="B323" s="335" t="s">
        <v>708</v>
      </c>
      <c r="C323" s="336" t="s">
        <v>33</v>
      </c>
      <c r="D323" s="405">
        <f>D330+D337+D358+D366+D388+D397-D322</f>
        <v>138.53</v>
      </c>
      <c r="E323" s="345"/>
      <c r="F323" s="345"/>
      <c r="G323" s="345"/>
      <c r="H323" s="345"/>
      <c r="I323" s="345"/>
      <c r="J323" s="297"/>
      <c r="K323" s="342"/>
    </row>
    <row r="324" spans="1:42" s="341" customFormat="1" x14ac:dyDescent="0.25">
      <c r="A324" s="334"/>
      <c r="B324" s="335" t="s">
        <v>414</v>
      </c>
      <c r="C324" s="336" t="s">
        <v>0</v>
      </c>
      <c r="D324" s="405">
        <f>D336+D345+D365+D372+D396+D406</f>
        <v>770.5</v>
      </c>
      <c r="E324" s="345"/>
      <c r="F324" s="345"/>
      <c r="G324" s="345"/>
      <c r="H324" s="345"/>
      <c r="I324" s="345"/>
      <c r="J324" s="297"/>
      <c r="K324" s="342"/>
    </row>
    <row r="325" spans="1:42" s="341" customFormat="1" x14ac:dyDescent="0.25">
      <c r="A325" s="120" t="s">
        <v>28</v>
      </c>
      <c r="B325" s="119" t="s">
        <v>709</v>
      </c>
      <c r="C325" s="121" t="str">
        <f>C328</f>
        <v>м3</v>
      </c>
      <c r="D325" s="394">
        <f>D328</f>
        <v>1829.5</v>
      </c>
      <c r="E325" s="126"/>
      <c r="F325" s="126"/>
      <c r="G325" s="126"/>
      <c r="H325" s="126"/>
      <c r="I325" s="126"/>
      <c r="J325" s="373"/>
      <c r="K325" s="342"/>
    </row>
    <row r="326" spans="1:42" s="341" customFormat="1" x14ac:dyDescent="0.25">
      <c r="A326" s="334"/>
      <c r="B326" s="335" t="s">
        <v>707</v>
      </c>
      <c r="C326" s="336" t="s">
        <v>33</v>
      </c>
      <c r="D326" s="405">
        <f>D347+D348+D374+D375+D417+D418+D432+D433+D453+D454</f>
        <v>8.5399999999999991</v>
      </c>
      <c r="E326" s="345"/>
      <c r="F326" s="345"/>
      <c r="G326" s="345"/>
      <c r="H326" s="345"/>
      <c r="I326" s="345"/>
      <c r="J326" s="297"/>
      <c r="K326" s="342"/>
    </row>
    <row r="327" spans="1:42" s="341" customFormat="1" x14ac:dyDescent="0.25">
      <c r="A327" s="334"/>
      <c r="B327" s="335" t="s">
        <v>708</v>
      </c>
      <c r="C327" s="336" t="s">
        <v>33</v>
      </c>
      <c r="D327" s="405">
        <f>D346+D373+D416+D431+D452-D326</f>
        <v>394.93</v>
      </c>
      <c r="E327" s="345"/>
      <c r="F327" s="345"/>
      <c r="G327" s="345"/>
      <c r="H327" s="345"/>
      <c r="I327" s="345"/>
      <c r="J327" s="297"/>
      <c r="K327" s="342"/>
    </row>
    <row r="328" spans="1:42" s="341" customFormat="1" x14ac:dyDescent="0.25">
      <c r="A328" s="334"/>
      <c r="B328" s="335" t="s">
        <v>414</v>
      </c>
      <c r="C328" s="336" t="s">
        <v>0</v>
      </c>
      <c r="D328" s="405">
        <f>D356+D384+D385+D386+D423+D444+D465</f>
        <v>1829.5</v>
      </c>
      <c r="E328" s="345"/>
      <c r="F328" s="345"/>
      <c r="G328" s="345"/>
      <c r="H328" s="345"/>
      <c r="I328" s="345"/>
      <c r="J328" s="297"/>
      <c r="K328" s="342"/>
    </row>
    <row r="329" spans="1:42" s="341" customFormat="1" outlineLevel="1" x14ac:dyDescent="0.25">
      <c r="A329" s="120" t="s">
        <v>711</v>
      </c>
      <c r="B329" s="119" t="s">
        <v>705</v>
      </c>
      <c r="C329" s="124"/>
      <c r="D329" s="140"/>
      <c r="E329" s="126"/>
      <c r="F329" s="126"/>
      <c r="G329" s="126"/>
      <c r="H329" s="126"/>
      <c r="I329" s="126"/>
      <c r="J329" s="373"/>
      <c r="K329" s="342"/>
    </row>
    <row r="330" spans="1:42" s="27" customFormat="1" ht="13.5" outlineLevel="1" x14ac:dyDescent="0.25">
      <c r="A330" s="374"/>
      <c r="B330" s="50" t="s">
        <v>449</v>
      </c>
      <c r="C330" s="28" t="s">
        <v>33</v>
      </c>
      <c r="D330" s="99">
        <f>SUM(D331:D334)</f>
        <v>20.81</v>
      </c>
      <c r="E330" s="56"/>
      <c r="F330" s="56"/>
      <c r="G330" s="56"/>
      <c r="H330" s="56"/>
      <c r="I330" s="56"/>
      <c r="J330" s="298"/>
      <c r="K330" s="56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</row>
    <row r="331" spans="1:42" s="27" customFormat="1" outlineLevel="2" x14ac:dyDescent="0.25">
      <c r="A331" s="305"/>
      <c r="B331" s="69" t="s">
        <v>450</v>
      </c>
      <c r="C331" s="243" t="s">
        <v>33</v>
      </c>
      <c r="D331" s="97">
        <f>462/1000</f>
        <v>0.46</v>
      </c>
      <c r="E331" s="56"/>
      <c r="F331" s="56"/>
      <c r="G331" s="56"/>
      <c r="H331" s="56"/>
      <c r="I331" s="56"/>
      <c r="J331" s="294"/>
      <c r="K331" s="56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</row>
    <row r="332" spans="1:42" s="27" customFormat="1" outlineLevel="2" x14ac:dyDescent="0.25">
      <c r="A332" s="305"/>
      <c r="B332" s="69" t="s">
        <v>401</v>
      </c>
      <c r="C332" s="243" t="s">
        <v>33</v>
      </c>
      <c r="D332" s="97">
        <f>4639.84/1000</f>
        <v>4.6399999999999997</v>
      </c>
      <c r="E332" s="56"/>
      <c r="F332" s="56"/>
      <c r="G332" s="56"/>
      <c r="H332" s="56"/>
      <c r="I332" s="56"/>
      <c r="J332" s="294"/>
      <c r="K332" s="56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</row>
    <row r="333" spans="1:42" s="27" customFormat="1" outlineLevel="2" x14ac:dyDescent="0.25">
      <c r="A333" s="305"/>
      <c r="B333" s="69" t="s">
        <v>429</v>
      </c>
      <c r="C333" s="243" t="s">
        <v>33</v>
      </c>
      <c r="D333" s="97">
        <f>1267.58/1000</f>
        <v>1.27</v>
      </c>
      <c r="E333" s="56"/>
      <c r="F333" s="56"/>
      <c r="G333" s="56"/>
      <c r="H333" s="56"/>
      <c r="I333" s="56"/>
      <c r="J333" s="294"/>
      <c r="K333" s="56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</row>
    <row r="334" spans="1:42" s="27" customFormat="1" outlineLevel="2" x14ac:dyDescent="0.25">
      <c r="A334" s="305"/>
      <c r="B334" s="72" t="s">
        <v>430</v>
      </c>
      <c r="C334" s="243" t="s">
        <v>33</v>
      </c>
      <c r="D334" s="97">
        <f>14437.84/1000</f>
        <v>14.44</v>
      </c>
      <c r="E334" s="56"/>
      <c r="F334" s="56"/>
      <c r="G334" s="56"/>
      <c r="H334" s="56"/>
      <c r="I334" s="56"/>
      <c r="J334" s="294"/>
      <c r="K334" s="56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</row>
    <row r="335" spans="1:42" s="27" customFormat="1" outlineLevel="1" x14ac:dyDescent="0.25">
      <c r="A335" s="304"/>
      <c r="B335" s="98" t="s">
        <v>692</v>
      </c>
      <c r="C335" s="28" t="s">
        <v>0</v>
      </c>
      <c r="D335" s="99">
        <f>D336</f>
        <v>98.28</v>
      </c>
      <c r="E335" s="56"/>
      <c r="F335" s="56"/>
      <c r="G335" s="56"/>
      <c r="H335" s="56"/>
      <c r="I335" s="56"/>
      <c r="J335" s="210"/>
      <c r="K335" s="56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</row>
    <row r="336" spans="1:42" s="27" customFormat="1" outlineLevel="2" x14ac:dyDescent="0.25">
      <c r="A336" s="305"/>
      <c r="B336" s="51" t="s">
        <v>414</v>
      </c>
      <c r="C336" s="243" t="s">
        <v>0</v>
      </c>
      <c r="D336" s="67">
        <f>2.5*4+2.5*2+2.5*2+2.5*6+2.5*1+2.5*5+2.5*5+1.5*1+3.5*2+1.04*2+1.7*1+1.7*1+1.4*2+2.3*3+2.3*5+0.6*1</f>
        <v>98.28</v>
      </c>
      <c r="E336" s="17"/>
      <c r="F336" s="56"/>
      <c r="G336" s="56"/>
      <c r="H336" s="56"/>
      <c r="I336" s="56"/>
      <c r="J336" s="294"/>
      <c r="K336" s="56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</row>
    <row r="337" spans="1:42" s="27" customFormat="1" outlineLevel="1" x14ac:dyDescent="0.25">
      <c r="A337" s="304"/>
      <c r="B337" s="50" t="s">
        <v>701</v>
      </c>
      <c r="C337" s="28" t="s">
        <v>33</v>
      </c>
      <c r="D337" s="48">
        <f>SUM(D338:D343)</f>
        <v>28.52</v>
      </c>
      <c r="E337" s="56"/>
      <c r="F337" s="56"/>
      <c r="G337" s="56"/>
      <c r="H337" s="56"/>
      <c r="I337" s="56"/>
      <c r="J337" s="294"/>
      <c r="K337" s="56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</row>
    <row r="338" spans="1:42" s="27" customFormat="1" outlineLevel="2" x14ac:dyDescent="0.25">
      <c r="A338" s="305"/>
      <c r="B338" s="69" t="s">
        <v>399</v>
      </c>
      <c r="C338" s="243" t="s">
        <v>33</v>
      </c>
      <c r="D338" s="71">
        <f>411.62/1000</f>
        <v>0.41</v>
      </c>
      <c r="E338" s="56"/>
      <c r="F338" s="56"/>
      <c r="G338" s="56"/>
      <c r="H338" s="56"/>
      <c r="I338" s="56"/>
      <c r="J338" s="294"/>
      <c r="K338" s="56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</row>
    <row r="339" spans="1:42" s="27" customFormat="1" outlineLevel="2" x14ac:dyDescent="0.25">
      <c r="A339" s="305"/>
      <c r="B339" s="69" t="s">
        <v>401</v>
      </c>
      <c r="C339" s="243" t="s">
        <v>33</v>
      </c>
      <c r="D339" s="71">
        <f>302.7/1000</f>
        <v>0.3</v>
      </c>
      <c r="E339" s="56"/>
      <c r="F339" s="56"/>
      <c r="G339" s="56"/>
      <c r="H339" s="56"/>
      <c r="I339" s="56"/>
      <c r="J339" s="294"/>
      <c r="K339" s="56"/>
      <c r="L339" s="180"/>
      <c r="M339" s="180"/>
      <c r="N339" s="180"/>
      <c r="O339" s="180"/>
      <c r="P339" s="180"/>
      <c r="Q339" s="180"/>
      <c r="R339" s="180"/>
      <c r="S339" s="180"/>
      <c r="T339" s="180"/>
      <c r="U339" s="180"/>
      <c r="V339" s="180"/>
      <c r="W339" s="180"/>
      <c r="X339" s="180"/>
      <c r="Y339" s="18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</row>
    <row r="340" spans="1:42" s="27" customFormat="1" outlineLevel="2" x14ac:dyDescent="0.25">
      <c r="A340" s="305"/>
      <c r="B340" s="69" t="s">
        <v>426</v>
      </c>
      <c r="C340" s="243" t="s">
        <v>33</v>
      </c>
      <c r="D340" s="71">
        <f>7771.32/1000</f>
        <v>7.77</v>
      </c>
      <c r="E340" s="56"/>
      <c r="F340" s="56"/>
      <c r="G340" s="56"/>
      <c r="H340" s="56"/>
      <c r="I340" s="56"/>
      <c r="J340" s="294"/>
      <c r="K340" s="56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180"/>
      <c r="X340" s="180"/>
      <c r="Y340" s="18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</row>
    <row r="341" spans="1:42" s="27" customFormat="1" outlineLevel="2" x14ac:dyDescent="0.25">
      <c r="A341" s="305"/>
      <c r="B341" s="69" t="s">
        <v>427</v>
      </c>
      <c r="C341" s="243" t="s">
        <v>33</v>
      </c>
      <c r="D341" s="71">
        <f>10831.6/1000</f>
        <v>10.83</v>
      </c>
      <c r="E341" s="56"/>
      <c r="F341" s="56"/>
      <c r="G341" s="56"/>
      <c r="H341" s="56"/>
      <c r="I341" s="56"/>
      <c r="J341" s="294"/>
      <c r="K341" s="56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180"/>
      <c r="X341" s="180"/>
      <c r="Y341" s="18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</row>
    <row r="342" spans="1:42" s="27" customFormat="1" outlineLevel="2" x14ac:dyDescent="0.25">
      <c r="A342" s="305"/>
      <c r="B342" s="69" t="s">
        <v>404</v>
      </c>
      <c r="C342" s="243" t="s">
        <v>33</v>
      </c>
      <c r="D342" s="71">
        <f>3064.79/1000</f>
        <v>3.06</v>
      </c>
      <c r="E342" s="56"/>
      <c r="F342" s="56"/>
      <c r="G342" s="56"/>
      <c r="H342" s="56"/>
      <c r="I342" s="56"/>
      <c r="J342" s="294"/>
      <c r="K342" s="56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</row>
    <row r="343" spans="1:42" s="27" customFormat="1" outlineLevel="2" x14ac:dyDescent="0.25">
      <c r="A343" s="305"/>
      <c r="B343" s="69" t="s">
        <v>428</v>
      </c>
      <c r="C343" s="243" t="s">
        <v>33</v>
      </c>
      <c r="D343" s="71">
        <f>6153.4/1000</f>
        <v>6.15</v>
      </c>
      <c r="E343" s="56"/>
      <c r="F343" s="56"/>
      <c r="G343" s="56"/>
      <c r="H343" s="56"/>
      <c r="I343" s="56"/>
      <c r="J343" s="294"/>
      <c r="K343" s="56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</row>
    <row r="344" spans="1:42" s="27" customFormat="1" outlineLevel="1" x14ac:dyDescent="0.25">
      <c r="A344" s="304"/>
      <c r="B344" s="98" t="s">
        <v>456</v>
      </c>
      <c r="C344" s="28" t="s">
        <v>0</v>
      </c>
      <c r="D344" s="48">
        <f>D345</f>
        <v>172.8</v>
      </c>
      <c r="E344" s="56"/>
      <c r="F344" s="56"/>
      <c r="G344" s="56"/>
      <c r="H344" s="56"/>
      <c r="I344" s="56"/>
      <c r="J344" s="294"/>
      <c r="K344" s="56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</row>
    <row r="345" spans="1:42" s="27" customFormat="1" outlineLevel="2" x14ac:dyDescent="0.25">
      <c r="A345" s="304"/>
      <c r="B345" s="51" t="s">
        <v>414</v>
      </c>
      <c r="C345" s="243" t="s">
        <v>0</v>
      </c>
      <c r="D345" s="71">
        <v>172.8</v>
      </c>
      <c r="E345" s="56"/>
      <c r="F345" s="56"/>
      <c r="G345" s="56"/>
      <c r="H345" s="56"/>
      <c r="I345" s="56"/>
      <c r="J345" s="294"/>
      <c r="K345" s="56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</row>
    <row r="346" spans="1:42" s="27" customFormat="1" outlineLevel="1" x14ac:dyDescent="0.25">
      <c r="A346" s="304"/>
      <c r="B346" s="65" t="s">
        <v>683</v>
      </c>
      <c r="C346" s="28" t="s">
        <v>33</v>
      </c>
      <c r="D346" s="99">
        <f>SUM(D347:D354)</f>
        <v>57.33</v>
      </c>
      <c r="E346" s="56"/>
      <c r="F346" s="56"/>
      <c r="G346" s="56"/>
      <c r="H346" s="56"/>
      <c r="I346" s="56"/>
      <c r="J346" s="294"/>
      <c r="K346" s="753" t="s">
        <v>627</v>
      </c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</row>
    <row r="347" spans="1:42" s="27" customFormat="1" outlineLevel="2" x14ac:dyDescent="0.25">
      <c r="A347" s="356"/>
      <c r="B347" s="76" t="s">
        <v>399</v>
      </c>
      <c r="C347" s="67" t="s">
        <v>33</v>
      </c>
      <c r="D347" s="355">
        <f>182.88/1000</f>
        <v>0.18</v>
      </c>
      <c r="E347" s="97"/>
      <c r="F347" s="354"/>
      <c r="G347" s="56"/>
      <c r="H347" s="56"/>
      <c r="I347" s="56"/>
      <c r="J347" s="294"/>
      <c r="K347" s="754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8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</row>
    <row r="348" spans="1:42" s="27" customFormat="1" outlineLevel="2" x14ac:dyDescent="0.25">
      <c r="A348" s="305"/>
      <c r="B348" s="76" t="s">
        <v>459</v>
      </c>
      <c r="C348" s="12" t="s">
        <v>33</v>
      </c>
      <c r="D348" s="355">
        <f>1206.54/1000</f>
        <v>1.21</v>
      </c>
      <c r="E348" s="97"/>
      <c r="F348" s="354"/>
      <c r="G348" s="56"/>
      <c r="H348" s="56"/>
      <c r="I348" s="56"/>
      <c r="J348" s="294"/>
      <c r="K348" s="754"/>
      <c r="L348" s="180"/>
      <c r="M348" s="180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0"/>
      <c r="Y348" s="180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</row>
    <row r="349" spans="1:42" s="27" customFormat="1" outlineLevel="2" x14ac:dyDescent="0.25">
      <c r="A349" s="305"/>
      <c r="B349" s="76" t="s">
        <v>450</v>
      </c>
      <c r="C349" s="12" t="s">
        <v>33</v>
      </c>
      <c r="D349" s="355">
        <f>551.02/1000</f>
        <v>0.55000000000000004</v>
      </c>
      <c r="E349" s="97"/>
      <c r="F349" s="354"/>
      <c r="G349" s="56"/>
      <c r="H349" s="56"/>
      <c r="I349" s="56"/>
      <c r="J349" s="294"/>
      <c r="K349" s="754"/>
      <c r="L349" s="180"/>
      <c r="M349" s="180"/>
      <c r="N349" s="180"/>
      <c r="O349" s="180"/>
      <c r="P349" s="180"/>
      <c r="Q349" s="180"/>
      <c r="R349" s="180"/>
      <c r="S349" s="180"/>
      <c r="T349" s="180"/>
      <c r="U349" s="180"/>
      <c r="V349" s="180"/>
      <c r="W349" s="180"/>
      <c r="X349" s="180"/>
      <c r="Y349" s="180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</row>
    <row r="350" spans="1:42" s="27" customFormat="1" outlineLevel="2" x14ac:dyDescent="0.25">
      <c r="A350" s="305"/>
      <c r="B350" s="76" t="s">
        <v>426</v>
      </c>
      <c r="C350" s="12" t="s">
        <v>33</v>
      </c>
      <c r="D350" s="355">
        <f>1049.6/1000</f>
        <v>1.05</v>
      </c>
      <c r="E350" s="97"/>
      <c r="F350" s="354"/>
      <c r="G350" s="56"/>
      <c r="H350" s="56"/>
      <c r="I350" s="56"/>
      <c r="J350" s="294"/>
      <c r="K350" s="754"/>
      <c r="L350" s="180"/>
      <c r="M350" s="180"/>
      <c r="N350" s="180"/>
      <c r="O350" s="180"/>
      <c r="P350" s="180"/>
      <c r="Q350" s="180"/>
      <c r="R350" s="180"/>
      <c r="S350" s="180"/>
      <c r="T350" s="180"/>
      <c r="U350" s="180"/>
      <c r="V350" s="180"/>
      <c r="W350" s="180"/>
      <c r="X350" s="180"/>
      <c r="Y350" s="180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</row>
    <row r="351" spans="1:42" s="27" customFormat="1" outlineLevel="2" x14ac:dyDescent="0.25">
      <c r="A351" s="305"/>
      <c r="B351" s="76" t="s">
        <v>427</v>
      </c>
      <c r="C351" s="12" t="s">
        <v>33</v>
      </c>
      <c r="D351" s="355">
        <f>32675.67/1000</f>
        <v>32.68</v>
      </c>
      <c r="E351" s="97"/>
      <c r="F351" s="354"/>
      <c r="G351" s="56"/>
      <c r="H351" s="56"/>
      <c r="I351" s="56"/>
      <c r="J351" s="294"/>
      <c r="K351" s="754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</row>
    <row r="352" spans="1:42" s="27" customFormat="1" outlineLevel="2" x14ac:dyDescent="0.25">
      <c r="A352" s="305"/>
      <c r="B352" s="76" t="s">
        <v>404</v>
      </c>
      <c r="C352" s="12" t="s">
        <v>33</v>
      </c>
      <c r="D352" s="355">
        <f>13296.59/1000</f>
        <v>13.3</v>
      </c>
      <c r="E352" s="97"/>
      <c r="F352" s="354"/>
      <c r="G352" s="56"/>
      <c r="H352" s="56"/>
      <c r="I352" s="56"/>
      <c r="J352" s="294"/>
      <c r="K352" s="754"/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0"/>
      <c r="Y352" s="180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</row>
    <row r="353" spans="1:42" s="27" customFormat="1" outlineLevel="2" x14ac:dyDescent="0.25">
      <c r="A353" s="305"/>
      <c r="B353" s="76" t="s">
        <v>428</v>
      </c>
      <c r="C353" s="12" t="s">
        <v>33</v>
      </c>
      <c r="D353" s="355">
        <f>5302.05/1000</f>
        <v>5.3</v>
      </c>
      <c r="E353" s="97"/>
      <c r="F353" s="354"/>
      <c r="G353" s="56"/>
      <c r="H353" s="56"/>
      <c r="I353" s="56"/>
      <c r="J353" s="294"/>
      <c r="K353" s="754"/>
      <c r="L353" s="180"/>
      <c r="M353" s="180"/>
      <c r="N353" s="180"/>
      <c r="O353" s="180"/>
      <c r="P353" s="180"/>
      <c r="Q353" s="180"/>
      <c r="R353" s="180"/>
      <c r="S353" s="180"/>
      <c r="T353" s="180"/>
      <c r="U353" s="180"/>
      <c r="V353" s="180"/>
      <c r="W353" s="180"/>
      <c r="X353" s="180"/>
      <c r="Y353" s="18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</row>
    <row r="354" spans="1:42" s="27" customFormat="1" outlineLevel="2" x14ac:dyDescent="0.25">
      <c r="A354" s="305"/>
      <c r="B354" s="76" t="s">
        <v>429</v>
      </c>
      <c r="C354" s="12" t="s">
        <v>33</v>
      </c>
      <c r="D354" s="355">
        <f>3063.14/1000</f>
        <v>3.06</v>
      </c>
      <c r="E354" s="97"/>
      <c r="F354" s="354"/>
      <c r="G354" s="56"/>
      <c r="H354" s="56"/>
      <c r="I354" s="56"/>
      <c r="J354" s="294"/>
      <c r="K354" s="754"/>
      <c r="L354" s="180"/>
      <c r="M354" s="180"/>
      <c r="N354" s="180"/>
      <c r="O354" s="180"/>
      <c r="P354" s="180"/>
      <c r="Q354" s="180"/>
      <c r="R354" s="180"/>
      <c r="S354" s="180"/>
      <c r="T354" s="180"/>
      <c r="U354" s="180"/>
      <c r="V354" s="180"/>
      <c r="W354" s="180"/>
      <c r="X354" s="180"/>
      <c r="Y354" s="18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</row>
    <row r="355" spans="1:42" s="27" customFormat="1" outlineLevel="1" x14ac:dyDescent="0.25">
      <c r="A355" s="304"/>
      <c r="B355" s="65" t="s">
        <v>461</v>
      </c>
      <c r="C355" s="28" t="s">
        <v>0</v>
      </c>
      <c r="D355" s="48">
        <f>D356</f>
        <v>338.5</v>
      </c>
      <c r="E355" s="56"/>
      <c r="F355" s="56"/>
      <c r="G355" s="56"/>
      <c r="H355" s="56"/>
      <c r="I355" s="56"/>
      <c r="J355" s="294"/>
      <c r="K355" s="754"/>
      <c r="L355" s="180"/>
      <c r="M355" s="180"/>
      <c r="N355" s="180"/>
      <c r="O355" s="180"/>
      <c r="P355" s="180"/>
      <c r="Q355" s="180"/>
      <c r="R355" s="180"/>
      <c r="S355" s="180"/>
      <c r="T355" s="180"/>
      <c r="U355" s="180"/>
      <c r="V355" s="180"/>
      <c r="W355" s="180"/>
      <c r="X355" s="180"/>
      <c r="Y355" s="18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</row>
    <row r="356" spans="1:42" s="27" customFormat="1" outlineLevel="2" x14ac:dyDescent="0.25">
      <c r="A356" s="305"/>
      <c r="B356" s="51" t="s">
        <v>414</v>
      </c>
      <c r="C356" s="17" t="s">
        <v>0</v>
      </c>
      <c r="D356" s="71">
        <v>338.5</v>
      </c>
      <c r="E356" s="56"/>
      <c r="F356" s="56"/>
      <c r="G356" s="56"/>
      <c r="H356" s="56"/>
      <c r="I356" s="56"/>
      <c r="J356" s="294"/>
      <c r="K356" s="755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180"/>
      <c r="X356" s="180"/>
      <c r="Y356" s="18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</row>
    <row r="357" spans="1:42" s="341" customFormat="1" outlineLevel="1" collapsed="1" x14ac:dyDescent="0.25">
      <c r="A357" s="120" t="s">
        <v>712</v>
      </c>
      <c r="B357" s="119" t="s">
        <v>706</v>
      </c>
      <c r="C357" s="124"/>
      <c r="D357" s="140"/>
      <c r="E357" s="126"/>
      <c r="F357" s="126"/>
      <c r="G357" s="126"/>
      <c r="H357" s="126"/>
      <c r="I357" s="126"/>
      <c r="J357" s="373"/>
      <c r="K357" s="342"/>
    </row>
    <row r="358" spans="1:42" s="27" customFormat="1" ht="13.5" outlineLevel="1" x14ac:dyDescent="0.25">
      <c r="A358" s="304"/>
      <c r="B358" s="50" t="s">
        <v>463</v>
      </c>
      <c r="C358" s="28" t="s">
        <v>33</v>
      </c>
      <c r="D358" s="48">
        <f>SUM(D359:D363)</f>
        <v>19.89</v>
      </c>
      <c r="E358" s="56"/>
      <c r="F358" s="56"/>
      <c r="G358" s="56"/>
      <c r="H358" s="56"/>
      <c r="I358" s="56"/>
      <c r="J358" s="298"/>
      <c r="K358" s="753" t="s">
        <v>626</v>
      </c>
      <c r="L358" s="180"/>
      <c r="M358" s="180"/>
      <c r="N358" s="180"/>
      <c r="O358" s="180"/>
      <c r="P358" s="180"/>
      <c r="Q358" s="180"/>
      <c r="R358" s="180"/>
      <c r="S358" s="180"/>
      <c r="T358" s="180"/>
      <c r="U358" s="180"/>
      <c r="V358" s="180"/>
      <c r="W358" s="180"/>
      <c r="X358" s="180"/>
      <c r="Y358" s="18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</row>
    <row r="359" spans="1:42" s="27" customFormat="1" outlineLevel="2" x14ac:dyDescent="0.25">
      <c r="A359" s="305"/>
      <c r="B359" s="76" t="s">
        <v>450</v>
      </c>
      <c r="C359" s="17" t="s">
        <v>33</v>
      </c>
      <c r="D359" s="25">
        <f>219.08/1000</f>
        <v>0.22</v>
      </c>
      <c r="E359" s="56"/>
      <c r="F359" s="56"/>
      <c r="G359" s="56"/>
      <c r="H359" s="56"/>
      <c r="I359" s="56"/>
      <c r="J359" s="294"/>
      <c r="K359" s="754"/>
      <c r="L359" s="180"/>
      <c r="M359" s="180"/>
      <c r="N359" s="180"/>
      <c r="O359" s="180"/>
      <c r="P359" s="180"/>
      <c r="Q359" s="180"/>
      <c r="R359" s="180"/>
      <c r="S359" s="180"/>
      <c r="T359" s="180"/>
      <c r="U359" s="180"/>
      <c r="V359" s="180"/>
      <c r="W359" s="180"/>
      <c r="X359" s="180"/>
      <c r="Y359" s="18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</row>
    <row r="360" spans="1:42" s="27" customFormat="1" outlineLevel="2" x14ac:dyDescent="0.25">
      <c r="A360" s="305"/>
      <c r="B360" s="76" t="s">
        <v>401</v>
      </c>
      <c r="C360" s="17" t="s">
        <v>33</v>
      </c>
      <c r="D360" s="25">
        <f>3724.7/1000</f>
        <v>3.72</v>
      </c>
      <c r="E360" s="56"/>
      <c r="F360" s="56"/>
      <c r="G360" s="56"/>
      <c r="H360" s="56"/>
      <c r="I360" s="56"/>
      <c r="J360" s="294"/>
      <c r="K360" s="754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8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</row>
    <row r="361" spans="1:42" s="27" customFormat="1" outlineLevel="2" x14ac:dyDescent="0.25">
      <c r="A361" s="305"/>
      <c r="B361" s="76" t="s">
        <v>429</v>
      </c>
      <c r="C361" s="17" t="s">
        <v>33</v>
      </c>
      <c r="D361" s="25">
        <f>8246.78/1000</f>
        <v>8.25</v>
      </c>
      <c r="E361" s="56"/>
      <c r="F361" s="56"/>
      <c r="G361" s="56"/>
      <c r="H361" s="56"/>
      <c r="I361" s="56"/>
      <c r="J361" s="294"/>
      <c r="K361" s="754"/>
      <c r="L361" s="180"/>
      <c r="M361" s="180"/>
      <c r="N361" s="180"/>
      <c r="O361" s="180"/>
      <c r="P361" s="180"/>
      <c r="Q361" s="180"/>
      <c r="R361" s="180"/>
      <c r="S361" s="180"/>
      <c r="T361" s="180"/>
      <c r="U361" s="180"/>
      <c r="V361" s="180"/>
      <c r="W361" s="180"/>
      <c r="X361" s="180"/>
      <c r="Y361" s="18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</row>
    <row r="362" spans="1:42" s="27" customFormat="1" outlineLevel="2" x14ac:dyDescent="0.25">
      <c r="A362" s="305"/>
      <c r="B362" s="78" t="s">
        <v>430</v>
      </c>
      <c r="C362" s="17" t="s">
        <v>33</v>
      </c>
      <c r="D362" s="25">
        <f>5966.52/1000</f>
        <v>5.97</v>
      </c>
      <c r="E362" s="56"/>
      <c r="F362" s="56"/>
      <c r="G362" s="56"/>
      <c r="H362" s="56"/>
      <c r="I362" s="56"/>
      <c r="J362" s="294"/>
      <c r="K362" s="754"/>
      <c r="L362" s="180"/>
      <c r="M362" s="180"/>
      <c r="N362" s="180"/>
      <c r="O362" s="180"/>
      <c r="P362" s="180"/>
      <c r="Q362" s="180"/>
      <c r="R362" s="180"/>
      <c r="S362" s="180"/>
      <c r="T362" s="180"/>
      <c r="U362" s="180"/>
      <c r="V362" s="180"/>
      <c r="W362" s="180"/>
      <c r="X362" s="180"/>
      <c r="Y362" s="18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</row>
    <row r="363" spans="1:42" s="27" customFormat="1" outlineLevel="2" x14ac:dyDescent="0.25">
      <c r="A363" s="305"/>
      <c r="B363" s="78" t="s">
        <v>431</v>
      </c>
      <c r="C363" s="17" t="s">
        <v>33</v>
      </c>
      <c r="D363" s="25">
        <f>1732.85/1000</f>
        <v>1.73</v>
      </c>
      <c r="E363" s="56"/>
      <c r="F363" s="56"/>
      <c r="G363" s="56"/>
      <c r="H363" s="56"/>
      <c r="I363" s="56"/>
      <c r="J363" s="294"/>
      <c r="K363" s="754"/>
      <c r="L363" s="180"/>
      <c r="M363" s="180"/>
      <c r="N363" s="180"/>
      <c r="O363" s="180"/>
      <c r="P363" s="180"/>
      <c r="Q363" s="180"/>
      <c r="R363" s="180"/>
      <c r="S363" s="180"/>
      <c r="T363" s="180"/>
      <c r="U363" s="180"/>
      <c r="V363" s="180"/>
      <c r="W363" s="180"/>
      <c r="X363" s="180"/>
      <c r="Y363" s="18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</row>
    <row r="364" spans="1:42" s="27" customFormat="1" outlineLevel="1" x14ac:dyDescent="0.25">
      <c r="A364" s="304"/>
      <c r="B364" s="98" t="s">
        <v>693</v>
      </c>
      <c r="C364" s="28" t="s">
        <v>0</v>
      </c>
      <c r="D364" s="48">
        <f>D365</f>
        <v>66.8</v>
      </c>
      <c r="E364" s="56"/>
      <c r="F364" s="56"/>
      <c r="G364" s="56"/>
      <c r="H364" s="56"/>
      <c r="I364" s="56"/>
      <c r="J364" s="294"/>
      <c r="K364" s="754"/>
      <c r="L364" s="180"/>
      <c r="M364" s="180"/>
      <c r="N364" s="180"/>
      <c r="O364" s="180"/>
      <c r="P364" s="180"/>
      <c r="Q364" s="180"/>
      <c r="R364" s="180"/>
      <c r="S364" s="180"/>
      <c r="T364" s="180"/>
      <c r="U364" s="180"/>
      <c r="V364" s="180"/>
      <c r="W364" s="180"/>
      <c r="X364" s="180"/>
      <c r="Y364" s="18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</row>
    <row r="365" spans="1:42" s="27" customFormat="1" outlineLevel="2" x14ac:dyDescent="0.25">
      <c r="A365" s="305"/>
      <c r="B365" s="76" t="s">
        <v>433</v>
      </c>
      <c r="C365" s="243" t="s">
        <v>0</v>
      </c>
      <c r="D365" s="71">
        <f>0.8*1+1.2*1+2.3*6+2.3*4+2.3*3+2.3*3+2.3*1+2.3*3+2.3*1+3.6*1+3.3*1+1.4*1+0.9*2+1.6*2+3.2*1</f>
        <v>66.8</v>
      </c>
      <c r="E365" s="56"/>
      <c r="F365" s="56"/>
      <c r="G365" s="56"/>
      <c r="H365" s="56"/>
      <c r="I365" s="56"/>
      <c r="J365" s="294"/>
      <c r="K365" s="754"/>
      <c r="L365" s="180"/>
      <c r="M365" s="180"/>
      <c r="N365" s="180"/>
      <c r="O365" s="180"/>
      <c r="P365" s="180"/>
      <c r="Q365" s="180"/>
      <c r="R365" s="180"/>
      <c r="S365" s="180"/>
      <c r="T365" s="180"/>
      <c r="U365" s="180"/>
      <c r="V365" s="180"/>
      <c r="W365" s="180"/>
      <c r="X365" s="180"/>
      <c r="Y365" s="180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</row>
    <row r="366" spans="1:42" s="27" customFormat="1" outlineLevel="1" x14ac:dyDescent="0.25">
      <c r="A366" s="304"/>
      <c r="B366" s="102" t="s">
        <v>465</v>
      </c>
      <c r="C366" s="28" t="s">
        <v>33</v>
      </c>
      <c r="D366" s="48">
        <f>SUM(D367:D370)</f>
        <v>6.99</v>
      </c>
      <c r="E366" s="56"/>
      <c r="F366" s="56"/>
      <c r="G366" s="56"/>
      <c r="H366" s="56"/>
      <c r="I366" s="56"/>
      <c r="J366" s="294"/>
      <c r="K366" s="755"/>
      <c r="L366" s="180"/>
      <c r="M366" s="180"/>
      <c r="N366" s="180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</row>
    <row r="367" spans="1:42" s="27" customFormat="1" outlineLevel="2" x14ac:dyDescent="0.25">
      <c r="A367" s="305"/>
      <c r="B367" s="76" t="s">
        <v>399</v>
      </c>
      <c r="C367" s="17" t="s">
        <v>33</v>
      </c>
      <c r="D367" s="71">
        <f>78.09/1000</f>
        <v>0.08</v>
      </c>
      <c r="E367" s="56"/>
      <c r="F367" s="56"/>
      <c r="G367" s="56"/>
      <c r="H367" s="56"/>
      <c r="I367" s="56"/>
      <c r="J367" s="294"/>
      <c r="K367" s="56"/>
      <c r="L367" s="180"/>
      <c r="M367" s="180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0"/>
      <c r="Y367" s="18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</row>
    <row r="368" spans="1:42" s="27" customFormat="1" outlineLevel="2" x14ac:dyDescent="0.25">
      <c r="A368" s="305"/>
      <c r="B368" s="76" t="s">
        <v>401</v>
      </c>
      <c r="C368" s="17" t="s">
        <v>33</v>
      </c>
      <c r="D368" s="71">
        <f>1620.6/1000</f>
        <v>1.62</v>
      </c>
      <c r="E368" s="56"/>
      <c r="F368" s="56"/>
      <c r="G368" s="56"/>
      <c r="H368" s="56"/>
      <c r="I368" s="56"/>
      <c r="J368" s="294"/>
      <c r="K368" s="56"/>
      <c r="L368" s="180"/>
      <c r="M368" s="180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</row>
    <row r="369" spans="1:42" s="27" customFormat="1" outlineLevel="2" x14ac:dyDescent="0.25">
      <c r="A369" s="305"/>
      <c r="B369" s="76" t="s">
        <v>426</v>
      </c>
      <c r="C369" s="17" t="s">
        <v>33</v>
      </c>
      <c r="D369" s="71">
        <f>2962.05/1000</f>
        <v>2.96</v>
      </c>
      <c r="E369" s="56"/>
      <c r="F369" s="56"/>
      <c r="G369" s="56"/>
      <c r="H369" s="56"/>
      <c r="I369" s="56"/>
      <c r="J369" s="294"/>
      <c r="K369" s="56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</row>
    <row r="370" spans="1:42" s="27" customFormat="1" outlineLevel="2" x14ac:dyDescent="0.25">
      <c r="A370" s="305"/>
      <c r="B370" s="76" t="s">
        <v>404</v>
      </c>
      <c r="C370" s="17" t="s">
        <v>33</v>
      </c>
      <c r="D370" s="71">
        <f>2325/1000</f>
        <v>2.33</v>
      </c>
      <c r="E370" s="56"/>
      <c r="F370" s="56"/>
      <c r="G370" s="56"/>
      <c r="H370" s="56"/>
      <c r="I370" s="56"/>
      <c r="J370" s="294"/>
      <c r="K370" s="56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</row>
    <row r="371" spans="1:42" s="27" customFormat="1" outlineLevel="1" x14ac:dyDescent="0.25">
      <c r="A371" s="304"/>
      <c r="B371" s="103" t="s">
        <v>466</v>
      </c>
      <c r="C371" s="28" t="s">
        <v>0</v>
      </c>
      <c r="D371" s="48">
        <f>D372</f>
        <v>63.6</v>
      </c>
      <c r="E371" s="56"/>
      <c r="F371" s="56"/>
      <c r="G371" s="56"/>
      <c r="H371" s="56"/>
      <c r="I371" s="56"/>
      <c r="J371" s="294"/>
      <c r="K371" s="56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</row>
    <row r="372" spans="1:42" s="27" customFormat="1" outlineLevel="2" x14ac:dyDescent="0.25">
      <c r="A372" s="305"/>
      <c r="B372" s="76" t="s">
        <v>433</v>
      </c>
      <c r="C372" s="243" t="s">
        <v>0</v>
      </c>
      <c r="D372" s="71">
        <v>63.6</v>
      </c>
      <c r="E372" s="56"/>
      <c r="F372" s="56"/>
      <c r="G372" s="56"/>
      <c r="H372" s="56"/>
      <c r="I372" s="56"/>
      <c r="J372" s="294"/>
      <c r="K372" s="56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</row>
    <row r="373" spans="1:42" s="27" customFormat="1" outlineLevel="1" x14ac:dyDescent="0.25">
      <c r="A373" s="304"/>
      <c r="B373" s="65" t="s">
        <v>685</v>
      </c>
      <c r="C373" s="28" t="s">
        <v>33</v>
      </c>
      <c r="D373" s="48">
        <f>SUM(D374:D382)</f>
        <v>38.33</v>
      </c>
      <c r="E373" s="56"/>
      <c r="F373" s="56"/>
      <c r="G373" s="56"/>
      <c r="H373" s="56"/>
      <c r="I373" s="56"/>
      <c r="J373" s="294"/>
      <c r="K373" s="56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</row>
    <row r="374" spans="1:42" s="27" customFormat="1" outlineLevel="2" x14ac:dyDescent="0.25">
      <c r="A374" s="305"/>
      <c r="B374" s="76" t="s">
        <v>399</v>
      </c>
      <c r="C374" s="17" t="s">
        <v>33</v>
      </c>
      <c r="D374" s="25">
        <f>80/1000</f>
        <v>0.08</v>
      </c>
      <c r="E374" s="354"/>
      <c r="F374" s="25"/>
      <c r="G374" s="56"/>
      <c r="H374" s="56"/>
      <c r="I374" s="56"/>
      <c r="J374" s="294"/>
      <c r="K374" s="56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</row>
    <row r="375" spans="1:42" s="27" customFormat="1" outlineLevel="2" x14ac:dyDescent="0.25">
      <c r="A375" s="305"/>
      <c r="B375" s="76" t="s">
        <v>459</v>
      </c>
      <c r="C375" s="17" t="s">
        <v>33</v>
      </c>
      <c r="D375" s="25">
        <f>950/1000</f>
        <v>0.95</v>
      </c>
      <c r="E375" s="354"/>
      <c r="F375" s="25"/>
      <c r="G375" s="56"/>
      <c r="H375" s="56"/>
      <c r="I375" s="56"/>
      <c r="J375" s="294"/>
      <c r="K375" s="56"/>
      <c r="L375" s="180"/>
      <c r="M375" s="180"/>
      <c r="N375" s="180"/>
      <c r="O375" s="180"/>
      <c r="P375" s="180"/>
      <c r="Q375" s="180"/>
      <c r="R375" s="180"/>
      <c r="S375" s="180"/>
      <c r="T375" s="180"/>
      <c r="U375" s="180"/>
      <c r="V375" s="180"/>
      <c r="W375" s="180"/>
      <c r="X375" s="180"/>
      <c r="Y375" s="18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</row>
    <row r="376" spans="1:42" s="27" customFormat="1" outlineLevel="2" x14ac:dyDescent="0.25">
      <c r="A376" s="305"/>
      <c r="B376" s="76" t="s">
        <v>450</v>
      </c>
      <c r="C376" s="17" t="s">
        <v>33</v>
      </c>
      <c r="D376" s="25">
        <f>594.66/1000</f>
        <v>0.59</v>
      </c>
      <c r="E376" s="354"/>
      <c r="F376" s="25"/>
      <c r="G376" s="56"/>
      <c r="H376" s="56"/>
      <c r="I376" s="56"/>
      <c r="J376" s="294"/>
      <c r="K376" s="56"/>
      <c r="L376" s="180"/>
      <c r="M376" s="180"/>
      <c r="N376" s="180"/>
      <c r="O376" s="180"/>
      <c r="P376" s="180"/>
      <c r="Q376" s="180"/>
      <c r="R376" s="180"/>
      <c r="S376" s="180"/>
      <c r="T376" s="180"/>
      <c r="U376" s="180"/>
      <c r="V376" s="180"/>
      <c r="W376" s="180"/>
      <c r="X376" s="180"/>
      <c r="Y376" s="18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</row>
    <row r="377" spans="1:42" s="27" customFormat="1" outlineLevel="2" x14ac:dyDescent="0.25">
      <c r="A377" s="305"/>
      <c r="B377" s="76" t="s">
        <v>401</v>
      </c>
      <c r="C377" s="17" t="s">
        <v>33</v>
      </c>
      <c r="D377" s="25">
        <f>924.54/1000</f>
        <v>0.92</v>
      </c>
      <c r="E377" s="354"/>
      <c r="F377" s="25"/>
      <c r="G377" s="56"/>
      <c r="H377" s="56"/>
      <c r="I377" s="56"/>
      <c r="J377" s="294"/>
      <c r="K377" s="56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80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</row>
    <row r="378" spans="1:42" s="27" customFormat="1" outlineLevel="2" x14ac:dyDescent="0.25">
      <c r="A378" s="305"/>
      <c r="B378" s="76" t="s">
        <v>426</v>
      </c>
      <c r="C378" s="17" t="s">
        <v>33</v>
      </c>
      <c r="D378" s="25">
        <f>681.72/1000</f>
        <v>0.68</v>
      </c>
      <c r="E378" s="354"/>
      <c r="F378" s="25"/>
      <c r="G378" s="56"/>
      <c r="H378" s="56"/>
      <c r="I378" s="56"/>
      <c r="J378" s="294"/>
      <c r="K378" s="56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0"/>
      <c r="Y378" s="180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</row>
    <row r="379" spans="1:42" s="27" customFormat="1" outlineLevel="2" x14ac:dyDescent="0.25">
      <c r="A379" s="305"/>
      <c r="B379" s="76" t="s">
        <v>427</v>
      </c>
      <c r="C379" s="17" t="s">
        <v>33</v>
      </c>
      <c r="D379" s="25">
        <f>20537.28/1000</f>
        <v>20.54</v>
      </c>
      <c r="E379" s="354"/>
      <c r="F379" s="25"/>
      <c r="G379" s="56"/>
      <c r="H379" s="56"/>
      <c r="I379" s="56"/>
      <c r="J379" s="294"/>
      <c r="K379" s="56"/>
      <c r="L379" s="180"/>
      <c r="M379" s="180"/>
      <c r="N379" s="180"/>
      <c r="O379" s="180"/>
      <c r="P379" s="180"/>
      <c r="Q379" s="180"/>
      <c r="R379" s="180"/>
      <c r="S379" s="180"/>
      <c r="T379" s="180"/>
      <c r="U379" s="180"/>
      <c r="V379" s="180"/>
      <c r="W379" s="180"/>
      <c r="X379" s="180"/>
      <c r="Y379" s="18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</row>
    <row r="380" spans="1:42" s="27" customFormat="1" outlineLevel="2" x14ac:dyDescent="0.25">
      <c r="A380" s="305"/>
      <c r="B380" s="76" t="s">
        <v>404</v>
      </c>
      <c r="C380" s="17" t="s">
        <v>33</v>
      </c>
      <c r="D380" s="25">
        <f>7852.11/1000</f>
        <v>7.85</v>
      </c>
      <c r="E380" s="354"/>
      <c r="F380" s="25"/>
      <c r="G380" s="56"/>
      <c r="H380" s="56"/>
      <c r="I380" s="56"/>
      <c r="J380" s="294"/>
      <c r="K380" s="56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180"/>
      <c r="X380" s="180"/>
      <c r="Y380" s="18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</row>
    <row r="381" spans="1:42" s="27" customFormat="1" outlineLevel="2" x14ac:dyDescent="0.25">
      <c r="A381" s="305"/>
      <c r="B381" s="76" t="s">
        <v>428</v>
      </c>
      <c r="C381" s="17" t="s">
        <v>33</v>
      </c>
      <c r="D381" s="25">
        <f>4826.88/1000</f>
        <v>4.83</v>
      </c>
      <c r="E381" s="354"/>
      <c r="F381" s="25"/>
      <c r="G381" s="56"/>
      <c r="H381" s="56"/>
      <c r="I381" s="56"/>
      <c r="J381" s="294"/>
      <c r="K381" s="56"/>
      <c r="L381" s="180"/>
      <c r="M381" s="180"/>
      <c r="N381" s="180"/>
      <c r="O381" s="180"/>
      <c r="P381" s="180"/>
      <c r="Q381" s="180"/>
      <c r="R381" s="180"/>
      <c r="S381" s="180"/>
      <c r="T381" s="180"/>
      <c r="U381" s="180"/>
      <c r="V381" s="180"/>
      <c r="W381" s="180"/>
      <c r="X381" s="180"/>
      <c r="Y381" s="18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</row>
    <row r="382" spans="1:42" s="27" customFormat="1" outlineLevel="2" x14ac:dyDescent="0.25">
      <c r="A382" s="305"/>
      <c r="B382" s="76" t="s">
        <v>429</v>
      </c>
      <c r="C382" s="17" t="s">
        <v>33</v>
      </c>
      <c r="D382" s="25">
        <f>1892.34/1000</f>
        <v>1.89</v>
      </c>
      <c r="E382" s="354"/>
      <c r="F382" s="25"/>
      <c r="G382" s="56"/>
      <c r="H382" s="56"/>
      <c r="I382" s="56"/>
      <c r="J382" s="294"/>
      <c r="K382" s="56"/>
      <c r="L382" s="180"/>
      <c r="M382" s="180"/>
      <c r="N382" s="180"/>
      <c r="O382" s="180"/>
      <c r="P382" s="180"/>
      <c r="Q382" s="180"/>
      <c r="R382" s="180"/>
      <c r="S382" s="180"/>
      <c r="T382" s="180"/>
      <c r="U382" s="180"/>
      <c r="V382" s="180"/>
      <c r="W382" s="180"/>
      <c r="X382" s="180"/>
      <c r="Y382" s="180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</row>
    <row r="383" spans="1:42" s="27" customFormat="1" ht="25.5" outlineLevel="1" x14ac:dyDescent="0.25">
      <c r="A383" s="304"/>
      <c r="B383" s="65" t="s">
        <v>694</v>
      </c>
      <c r="C383" s="28" t="s">
        <v>0</v>
      </c>
      <c r="D383" s="48">
        <f>SUM(D384:D386)</f>
        <v>215</v>
      </c>
      <c r="E383" s="56"/>
      <c r="F383" s="56"/>
      <c r="G383" s="56"/>
      <c r="H383" s="56"/>
      <c r="I383" s="56"/>
      <c r="J383" s="294"/>
      <c r="K383" s="56"/>
      <c r="L383" s="180"/>
      <c r="M383" s="180"/>
      <c r="N383" s="180"/>
      <c r="O383" s="180"/>
      <c r="P383" s="180"/>
      <c r="Q383" s="180"/>
      <c r="R383" s="180"/>
      <c r="S383" s="180"/>
      <c r="T383" s="180"/>
      <c r="U383" s="180"/>
      <c r="V383" s="180"/>
      <c r="W383" s="180"/>
      <c r="X383" s="180"/>
      <c r="Y383" s="180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</row>
    <row r="384" spans="1:42" s="27" customFormat="1" outlineLevel="2" x14ac:dyDescent="0.25">
      <c r="A384" s="305"/>
      <c r="B384" s="76" t="s">
        <v>470</v>
      </c>
      <c r="C384" s="243" t="s">
        <v>0</v>
      </c>
      <c r="D384" s="71">
        <v>194</v>
      </c>
      <c r="E384" s="56"/>
      <c r="F384" s="56"/>
      <c r="G384" s="56"/>
      <c r="H384" s="56"/>
      <c r="I384" s="56"/>
      <c r="J384" s="294"/>
      <c r="K384" s="56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</row>
    <row r="385" spans="1:42" s="27" customFormat="1" outlineLevel="2" x14ac:dyDescent="0.25">
      <c r="A385" s="305"/>
      <c r="B385" s="76" t="s">
        <v>471</v>
      </c>
      <c r="C385" s="243" t="s">
        <v>0</v>
      </c>
      <c r="D385" s="71">
        <v>1</v>
      </c>
      <c r="E385" s="56"/>
      <c r="F385" s="56"/>
      <c r="G385" s="56"/>
      <c r="H385" s="56"/>
      <c r="I385" s="56"/>
      <c r="J385" s="294"/>
      <c r="K385" s="56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180"/>
      <c r="X385" s="180"/>
      <c r="Y385" s="18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</row>
    <row r="386" spans="1:42" s="27" customFormat="1" outlineLevel="2" x14ac:dyDescent="0.25">
      <c r="A386" s="305"/>
      <c r="B386" s="76" t="s">
        <v>470</v>
      </c>
      <c r="C386" s="243" t="s">
        <v>0</v>
      </c>
      <c r="D386" s="71">
        <v>20</v>
      </c>
      <c r="E386" s="56"/>
      <c r="F386" s="56"/>
      <c r="G386" s="56"/>
      <c r="H386" s="56"/>
      <c r="I386" s="56"/>
      <c r="J386" s="294"/>
      <c r="K386" s="56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</row>
    <row r="387" spans="1:42" s="320" customFormat="1" ht="15" outlineLevel="1" collapsed="1" x14ac:dyDescent="0.25">
      <c r="A387" s="384" t="s">
        <v>713</v>
      </c>
      <c r="B387" s="372" t="s">
        <v>472</v>
      </c>
      <c r="C387" s="372"/>
      <c r="D387" s="372"/>
      <c r="E387" s="383"/>
      <c r="F387" s="383"/>
      <c r="G387" s="383"/>
      <c r="H387" s="383"/>
      <c r="I387" s="383"/>
      <c r="J387" s="295"/>
      <c r="K387" s="319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  <c r="AA387" s="358"/>
      <c r="AB387" s="358"/>
      <c r="AC387" s="358"/>
      <c r="AD387" s="358"/>
      <c r="AE387" s="358"/>
      <c r="AF387" s="358"/>
      <c r="AG387" s="358"/>
      <c r="AH387" s="358"/>
      <c r="AI387" s="358"/>
      <c r="AJ387" s="358"/>
      <c r="AK387" s="358"/>
      <c r="AL387" s="358"/>
      <c r="AM387" s="358"/>
      <c r="AN387" s="358"/>
      <c r="AO387" s="358"/>
      <c r="AP387" s="358"/>
    </row>
    <row r="388" spans="1:42" s="320" customFormat="1" ht="15" outlineLevel="1" x14ac:dyDescent="0.25">
      <c r="A388" s="309"/>
      <c r="B388" s="259" t="s">
        <v>473</v>
      </c>
      <c r="C388" s="108" t="s">
        <v>33</v>
      </c>
      <c r="D388" s="111">
        <f>SUM(D389:D394)</f>
        <v>19.399999999999999</v>
      </c>
      <c r="E388" s="14"/>
      <c r="F388" s="14"/>
      <c r="G388" s="14"/>
      <c r="H388" s="14"/>
      <c r="I388" s="14"/>
      <c r="J388" s="210"/>
      <c r="K388" s="319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  <c r="AA388" s="358"/>
      <c r="AB388" s="358"/>
      <c r="AC388" s="358"/>
      <c r="AD388" s="358"/>
      <c r="AE388" s="358"/>
      <c r="AF388" s="358"/>
      <c r="AG388" s="358"/>
      <c r="AH388" s="358"/>
      <c r="AI388" s="358"/>
      <c r="AJ388" s="358"/>
      <c r="AK388" s="358"/>
      <c r="AL388" s="358"/>
      <c r="AM388" s="358"/>
      <c r="AN388" s="358"/>
      <c r="AO388" s="358"/>
      <c r="AP388" s="358"/>
    </row>
    <row r="389" spans="1:42" s="320" customFormat="1" ht="15" outlineLevel="2" x14ac:dyDescent="0.25">
      <c r="A389" s="321"/>
      <c r="B389" s="324" t="s">
        <v>450</v>
      </c>
      <c r="C389" s="315" t="s">
        <v>33</v>
      </c>
      <c r="D389" s="310">
        <f>246.28/1000</f>
        <v>0.25</v>
      </c>
      <c r="E389" s="14"/>
      <c r="F389" s="14"/>
      <c r="G389" s="14"/>
      <c r="H389" s="14"/>
      <c r="I389" s="14"/>
      <c r="J389" s="294"/>
      <c r="K389" s="319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  <c r="AA389" s="358"/>
      <c r="AB389" s="358"/>
      <c r="AC389" s="358"/>
      <c r="AD389" s="358"/>
      <c r="AE389" s="358"/>
      <c r="AF389" s="358"/>
      <c r="AG389" s="358"/>
      <c r="AH389" s="358"/>
      <c r="AI389" s="358"/>
      <c r="AJ389" s="358"/>
      <c r="AK389" s="358"/>
      <c r="AL389" s="358"/>
      <c r="AM389" s="358"/>
      <c r="AN389" s="358"/>
      <c r="AO389" s="358"/>
      <c r="AP389" s="358"/>
    </row>
    <row r="390" spans="1:42" s="320" customFormat="1" ht="15" outlineLevel="2" x14ac:dyDescent="0.25">
      <c r="A390" s="321"/>
      <c r="B390" s="324" t="s">
        <v>401</v>
      </c>
      <c r="C390" s="315" t="s">
        <v>33</v>
      </c>
      <c r="D390" s="310">
        <f>2494.54/1000</f>
        <v>2.4900000000000002</v>
      </c>
      <c r="E390" s="14"/>
      <c r="F390" s="14"/>
      <c r="G390" s="14"/>
      <c r="H390" s="14"/>
      <c r="I390" s="14"/>
      <c r="J390" s="294"/>
      <c r="K390" s="319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  <c r="AA390" s="358"/>
      <c r="AB390" s="358"/>
      <c r="AC390" s="358"/>
      <c r="AD390" s="358"/>
      <c r="AE390" s="358"/>
      <c r="AF390" s="358"/>
      <c r="AG390" s="358"/>
      <c r="AH390" s="358"/>
      <c r="AI390" s="358"/>
      <c r="AJ390" s="358"/>
      <c r="AK390" s="358"/>
      <c r="AL390" s="358"/>
      <c r="AM390" s="358"/>
      <c r="AN390" s="358"/>
      <c r="AO390" s="358"/>
      <c r="AP390" s="358"/>
    </row>
    <row r="391" spans="1:42" s="320" customFormat="1" ht="15" outlineLevel="2" x14ac:dyDescent="0.25">
      <c r="A391" s="321"/>
      <c r="B391" s="324" t="s">
        <v>428</v>
      </c>
      <c r="C391" s="315" t="s">
        <v>33</v>
      </c>
      <c r="D391" s="310">
        <f>276/1000</f>
        <v>0.28000000000000003</v>
      </c>
      <c r="E391" s="14"/>
      <c r="F391" s="14"/>
      <c r="G391" s="14"/>
      <c r="H391" s="14"/>
      <c r="I391" s="14"/>
      <c r="J391" s="294"/>
      <c r="K391" s="319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  <c r="AA391" s="358"/>
      <c r="AB391" s="358"/>
      <c r="AC391" s="358"/>
      <c r="AD391" s="358"/>
      <c r="AE391" s="358"/>
      <c r="AF391" s="358"/>
      <c r="AG391" s="358"/>
      <c r="AH391" s="358"/>
      <c r="AI391" s="358"/>
      <c r="AJ391" s="358"/>
      <c r="AK391" s="358"/>
      <c r="AL391" s="358"/>
      <c r="AM391" s="358"/>
      <c r="AN391" s="358"/>
      <c r="AO391" s="358"/>
      <c r="AP391" s="358"/>
    </row>
    <row r="392" spans="1:42" s="320" customFormat="1" ht="15" outlineLevel="2" x14ac:dyDescent="0.25">
      <c r="A392" s="321"/>
      <c r="B392" s="324" t="s">
        <v>429</v>
      </c>
      <c r="C392" s="315" t="s">
        <v>33</v>
      </c>
      <c r="D392" s="310">
        <f>11767.72/1000</f>
        <v>11.77</v>
      </c>
      <c r="E392" s="14"/>
      <c r="F392" s="14"/>
      <c r="G392" s="14"/>
      <c r="H392" s="14"/>
      <c r="I392" s="14"/>
      <c r="J392" s="294"/>
      <c r="K392" s="319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  <c r="AA392" s="358"/>
      <c r="AB392" s="358"/>
      <c r="AC392" s="358"/>
      <c r="AD392" s="358"/>
      <c r="AE392" s="358"/>
      <c r="AF392" s="358"/>
      <c r="AG392" s="358"/>
      <c r="AH392" s="358"/>
      <c r="AI392" s="358"/>
      <c r="AJ392" s="358"/>
      <c r="AK392" s="358"/>
      <c r="AL392" s="358"/>
      <c r="AM392" s="358"/>
      <c r="AN392" s="358"/>
      <c r="AO392" s="358"/>
      <c r="AP392" s="358"/>
    </row>
    <row r="393" spans="1:42" s="320" customFormat="1" ht="15" outlineLevel="2" x14ac:dyDescent="0.25">
      <c r="A393" s="321"/>
      <c r="B393" s="324" t="s">
        <v>408</v>
      </c>
      <c r="C393" s="315" t="s">
        <v>33</v>
      </c>
      <c r="D393" s="310">
        <f>1620.64/1000</f>
        <v>1.62</v>
      </c>
      <c r="E393" s="14"/>
      <c r="F393" s="14"/>
      <c r="G393" s="14"/>
      <c r="H393" s="14"/>
      <c r="I393" s="14"/>
      <c r="J393" s="294"/>
      <c r="K393" s="319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  <c r="AA393" s="358"/>
      <c r="AB393" s="358"/>
      <c r="AC393" s="358"/>
      <c r="AD393" s="358"/>
      <c r="AE393" s="358"/>
      <c r="AF393" s="358"/>
      <c r="AG393" s="358"/>
      <c r="AH393" s="358"/>
      <c r="AI393" s="358"/>
      <c r="AJ393" s="358"/>
      <c r="AK393" s="358"/>
      <c r="AL393" s="358"/>
      <c r="AM393" s="358"/>
      <c r="AN393" s="358"/>
      <c r="AO393" s="358"/>
      <c r="AP393" s="358"/>
    </row>
    <row r="394" spans="1:42" s="320" customFormat="1" ht="15" outlineLevel="2" x14ac:dyDescent="0.25">
      <c r="A394" s="321"/>
      <c r="B394" s="324" t="s">
        <v>431</v>
      </c>
      <c r="C394" s="315" t="s">
        <v>33</v>
      </c>
      <c r="D394" s="310">
        <f>2992/1000</f>
        <v>2.99</v>
      </c>
      <c r="E394" s="14"/>
      <c r="F394" s="14"/>
      <c r="G394" s="14"/>
      <c r="H394" s="14"/>
      <c r="I394" s="14"/>
      <c r="J394" s="294"/>
      <c r="K394" s="319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  <c r="AA394" s="358"/>
      <c r="AB394" s="358"/>
      <c r="AC394" s="358"/>
      <c r="AD394" s="358"/>
      <c r="AE394" s="358"/>
      <c r="AF394" s="358"/>
      <c r="AG394" s="358"/>
      <c r="AH394" s="358"/>
      <c r="AI394" s="358"/>
      <c r="AJ394" s="358"/>
      <c r="AK394" s="358"/>
      <c r="AL394" s="358"/>
      <c r="AM394" s="358"/>
      <c r="AN394" s="358"/>
      <c r="AO394" s="358"/>
      <c r="AP394" s="358"/>
    </row>
    <row r="395" spans="1:42" s="320" customFormat="1" ht="15" outlineLevel="1" x14ac:dyDescent="0.25">
      <c r="A395" s="309"/>
      <c r="B395" s="259" t="s">
        <v>696</v>
      </c>
      <c r="C395" s="108" t="s">
        <v>0</v>
      </c>
      <c r="D395" s="108">
        <f>D396</f>
        <v>56.97</v>
      </c>
      <c r="E395" s="14"/>
      <c r="F395" s="14"/>
      <c r="G395" s="14"/>
      <c r="H395" s="14"/>
      <c r="I395" s="14"/>
      <c r="J395" s="210"/>
      <c r="K395" s="319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  <c r="AA395" s="358"/>
      <c r="AB395" s="358"/>
      <c r="AC395" s="358"/>
      <c r="AD395" s="358"/>
      <c r="AE395" s="358"/>
      <c r="AF395" s="358"/>
      <c r="AG395" s="358"/>
      <c r="AH395" s="358"/>
      <c r="AI395" s="358"/>
      <c r="AJ395" s="358"/>
      <c r="AK395" s="358"/>
      <c r="AL395" s="358"/>
      <c r="AM395" s="358"/>
      <c r="AN395" s="358"/>
      <c r="AO395" s="358"/>
      <c r="AP395" s="358"/>
    </row>
    <row r="396" spans="1:42" s="320" customFormat="1" ht="15" outlineLevel="2" x14ac:dyDescent="0.25">
      <c r="A396" s="321"/>
      <c r="B396" s="323" t="s">
        <v>414</v>
      </c>
      <c r="C396" s="244" t="s">
        <v>0</v>
      </c>
      <c r="D396" s="244">
        <f>0.5*2+0.5*7+0.6*12+0.8*9+0.8*4+0.8*1+0.8*9+0.85*1+0.8*11+0.4*2+0.4*3+0.6*3+0.6*7+0.5*2+0.46*2+0.5*2+0.5*4+0.5*2+0.5*3+0.5*2+0.8*1</f>
        <v>56.97</v>
      </c>
      <c r="E396" s="14"/>
      <c r="F396" s="14"/>
      <c r="G396" s="14"/>
      <c r="H396" s="14"/>
      <c r="I396" s="14"/>
      <c r="J396" s="294"/>
      <c r="K396" s="319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  <c r="AA396" s="358"/>
      <c r="AB396" s="358"/>
      <c r="AC396" s="358"/>
      <c r="AD396" s="358"/>
      <c r="AE396" s="358"/>
      <c r="AF396" s="358"/>
      <c r="AG396" s="358"/>
      <c r="AH396" s="358"/>
      <c r="AI396" s="358"/>
      <c r="AJ396" s="358"/>
      <c r="AK396" s="358"/>
      <c r="AL396" s="358"/>
      <c r="AM396" s="358"/>
      <c r="AN396" s="358"/>
      <c r="AO396" s="358"/>
      <c r="AP396" s="358"/>
    </row>
    <row r="397" spans="1:42" s="320" customFormat="1" ht="15" outlineLevel="1" x14ac:dyDescent="0.25">
      <c r="A397" s="309"/>
      <c r="B397" s="259" t="s">
        <v>475</v>
      </c>
      <c r="C397" s="108" t="s">
        <v>33</v>
      </c>
      <c r="D397" s="111">
        <f>SUM(D398:D403)</f>
        <v>43.84</v>
      </c>
      <c r="E397" s="14"/>
      <c r="F397" s="14"/>
      <c r="G397" s="14"/>
      <c r="H397" s="14"/>
      <c r="I397" s="14"/>
      <c r="J397" s="210"/>
      <c r="K397" s="319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  <c r="AA397" s="358"/>
      <c r="AB397" s="358"/>
      <c r="AC397" s="358"/>
      <c r="AD397" s="358"/>
      <c r="AE397" s="358"/>
      <c r="AF397" s="358"/>
      <c r="AG397" s="358"/>
      <c r="AH397" s="358"/>
      <c r="AI397" s="358"/>
      <c r="AJ397" s="358"/>
      <c r="AK397" s="358"/>
      <c r="AL397" s="358"/>
      <c r="AM397" s="358"/>
      <c r="AN397" s="358"/>
      <c r="AO397" s="358"/>
      <c r="AP397" s="358"/>
    </row>
    <row r="398" spans="1:42" s="320" customFormat="1" ht="15" outlineLevel="2" x14ac:dyDescent="0.25">
      <c r="A398" s="321"/>
      <c r="B398" s="324" t="s">
        <v>399</v>
      </c>
      <c r="C398" s="244" t="s">
        <v>33</v>
      </c>
      <c r="D398" s="74">
        <f>(131.8+236+31+33.8)/1000</f>
        <v>0.43</v>
      </c>
      <c r="E398" s="14"/>
      <c r="F398" s="14"/>
      <c r="G398" s="14"/>
      <c r="H398" s="14"/>
      <c r="I398" s="14"/>
      <c r="J398" s="294"/>
      <c r="K398" s="319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  <c r="AA398" s="358"/>
      <c r="AB398" s="358"/>
      <c r="AC398" s="358"/>
      <c r="AD398" s="358"/>
      <c r="AE398" s="358"/>
      <c r="AF398" s="358"/>
      <c r="AG398" s="358"/>
      <c r="AH398" s="358"/>
      <c r="AI398" s="358"/>
      <c r="AJ398" s="358"/>
      <c r="AK398" s="358"/>
      <c r="AL398" s="358"/>
      <c r="AM398" s="358"/>
      <c r="AN398" s="358"/>
      <c r="AO398" s="358"/>
      <c r="AP398" s="358"/>
    </row>
    <row r="399" spans="1:42" s="320" customFormat="1" ht="15" outlineLevel="2" x14ac:dyDescent="0.25">
      <c r="A399" s="321"/>
      <c r="B399" s="324" t="s">
        <v>426</v>
      </c>
      <c r="C399" s="244" t="s">
        <v>33</v>
      </c>
      <c r="D399" s="74">
        <f>(3322.1+10007.7+1005+861.1)/1000</f>
        <v>15.2</v>
      </c>
      <c r="E399" s="14"/>
      <c r="F399" s="14"/>
      <c r="G399" s="14"/>
      <c r="H399" s="14"/>
      <c r="I399" s="14"/>
      <c r="J399" s="294"/>
      <c r="K399" s="319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  <c r="AA399" s="358"/>
      <c r="AB399" s="358"/>
      <c r="AC399" s="358"/>
      <c r="AD399" s="358"/>
      <c r="AE399" s="358"/>
      <c r="AF399" s="358"/>
      <c r="AG399" s="358"/>
      <c r="AH399" s="358"/>
      <c r="AI399" s="358"/>
      <c r="AJ399" s="358"/>
      <c r="AK399" s="358"/>
      <c r="AL399" s="358"/>
      <c r="AM399" s="358"/>
      <c r="AN399" s="358"/>
      <c r="AO399" s="358"/>
      <c r="AP399" s="358"/>
    </row>
    <row r="400" spans="1:42" s="320" customFormat="1" ht="15" outlineLevel="2" x14ac:dyDescent="0.25">
      <c r="A400" s="321"/>
      <c r="B400" s="324" t="s">
        <v>427</v>
      </c>
      <c r="C400" s="244" t="s">
        <v>33</v>
      </c>
      <c r="D400" s="74">
        <f>562/1000</f>
        <v>0.56000000000000005</v>
      </c>
      <c r="E400" s="14"/>
      <c r="F400" s="14"/>
      <c r="G400" s="14"/>
      <c r="H400" s="14"/>
      <c r="I400" s="14"/>
      <c r="J400" s="294"/>
      <c r="K400" s="319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  <c r="AA400" s="358"/>
      <c r="AB400" s="358"/>
      <c r="AC400" s="358"/>
      <c r="AD400" s="358"/>
      <c r="AE400" s="358"/>
      <c r="AF400" s="358"/>
      <c r="AG400" s="358"/>
      <c r="AH400" s="358"/>
      <c r="AI400" s="358"/>
      <c r="AJ400" s="358"/>
      <c r="AK400" s="358"/>
      <c r="AL400" s="358"/>
      <c r="AM400" s="358"/>
      <c r="AN400" s="358"/>
      <c r="AO400" s="358"/>
      <c r="AP400" s="358"/>
    </row>
    <row r="401" spans="1:42" s="320" customFormat="1" ht="15" outlineLevel="2" x14ac:dyDescent="0.25">
      <c r="A401" s="321"/>
      <c r="B401" s="324" t="s">
        <v>440</v>
      </c>
      <c r="C401" s="244" t="s">
        <v>33</v>
      </c>
      <c r="D401" s="74">
        <f>(7419.8+15165.6+2436+2390.9)/1000</f>
        <v>27.41</v>
      </c>
      <c r="E401" s="14"/>
      <c r="F401" s="14"/>
      <c r="G401" s="14"/>
      <c r="H401" s="14"/>
      <c r="I401" s="14"/>
      <c r="J401" s="294"/>
      <c r="K401" s="319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  <c r="AA401" s="358"/>
      <c r="AB401" s="358"/>
      <c r="AC401" s="358"/>
      <c r="AD401" s="358"/>
      <c r="AE401" s="358"/>
      <c r="AF401" s="358"/>
      <c r="AG401" s="358"/>
      <c r="AH401" s="358"/>
      <c r="AI401" s="358"/>
      <c r="AJ401" s="358"/>
      <c r="AK401" s="358"/>
      <c r="AL401" s="358"/>
      <c r="AM401" s="358"/>
      <c r="AN401" s="358"/>
      <c r="AO401" s="358"/>
      <c r="AP401" s="358"/>
    </row>
    <row r="402" spans="1:42" s="320" customFormat="1" ht="15" outlineLevel="2" x14ac:dyDescent="0.25">
      <c r="A402" s="321"/>
      <c r="B402" s="324" t="s">
        <v>405</v>
      </c>
      <c r="C402" s="244" t="s">
        <v>33</v>
      </c>
      <c r="D402" s="74">
        <f>75/1000</f>
        <v>0.08</v>
      </c>
      <c r="E402" s="14"/>
      <c r="F402" s="14"/>
      <c r="G402" s="14"/>
      <c r="H402" s="14"/>
      <c r="I402" s="14"/>
      <c r="J402" s="294"/>
      <c r="K402" s="319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  <c r="AA402" s="358"/>
      <c r="AB402" s="358"/>
      <c r="AC402" s="358"/>
      <c r="AD402" s="358"/>
      <c r="AE402" s="358"/>
      <c r="AF402" s="358"/>
      <c r="AG402" s="358"/>
      <c r="AH402" s="358"/>
      <c r="AI402" s="358"/>
      <c r="AJ402" s="358"/>
      <c r="AK402" s="358"/>
      <c r="AL402" s="358"/>
      <c r="AM402" s="358"/>
      <c r="AN402" s="358"/>
      <c r="AO402" s="358"/>
      <c r="AP402" s="358"/>
    </row>
    <row r="403" spans="1:42" s="320" customFormat="1" ht="15" outlineLevel="2" x14ac:dyDescent="0.25">
      <c r="A403" s="321"/>
      <c r="B403" s="324" t="s">
        <v>407</v>
      </c>
      <c r="C403" s="244" t="s">
        <v>33</v>
      </c>
      <c r="D403" s="74">
        <f>162.7/1000</f>
        <v>0.16</v>
      </c>
      <c r="E403" s="14"/>
      <c r="F403" s="14"/>
      <c r="G403" s="14"/>
      <c r="H403" s="14"/>
      <c r="I403" s="14"/>
      <c r="J403" s="27"/>
      <c r="K403" s="319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  <c r="AA403" s="358"/>
      <c r="AB403" s="358"/>
      <c r="AC403" s="358"/>
      <c r="AD403" s="358"/>
      <c r="AE403" s="358"/>
      <c r="AF403" s="358"/>
      <c r="AG403" s="358"/>
      <c r="AH403" s="358"/>
      <c r="AI403" s="358"/>
      <c r="AJ403" s="358"/>
      <c r="AK403" s="358"/>
      <c r="AL403" s="358"/>
      <c r="AM403" s="358"/>
      <c r="AN403" s="358"/>
      <c r="AO403" s="358"/>
      <c r="AP403" s="358"/>
    </row>
    <row r="404" spans="1:42" s="320" customFormat="1" ht="15" outlineLevel="2" x14ac:dyDescent="0.25">
      <c r="A404" s="366"/>
      <c r="B404" s="324" t="s">
        <v>441</v>
      </c>
      <c r="C404" s="315" t="s">
        <v>33</v>
      </c>
      <c r="D404" s="310">
        <f>(8+9.45)/1000</f>
        <v>0.02</v>
      </c>
      <c r="E404" s="14"/>
      <c r="F404" s="14"/>
      <c r="G404" s="14"/>
      <c r="H404" s="14"/>
      <c r="I404" s="14"/>
      <c r="J404" s="294"/>
      <c r="K404" s="319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  <c r="AA404" s="358"/>
      <c r="AB404" s="358"/>
      <c r="AC404" s="358"/>
      <c r="AD404" s="358"/>
      <c r="AE404" s="358"/>
      <c r="AF404" s="358"/>
      <c r="AG404" s="358"/>
      <c r="AH404" s="358"/>
      <c r="AI404" s="358"/>
      <c r="AJ404" s="358"/>
      <c r="AK404" s="358"/>
      <c r="AL404" s="358"/>
      <c r="AM404" s="358"/>
      <c r="AN404" s="358"/>
      <c r="AO404" s="358"/>
      <c r="AP404" s="358"/>
    </row>
    <row r="405" spans="1:42" s="320" customFormat="1" ht="15" outlineLevel="1" x14ac:dyDescent="0.25">
      <c r="A405" s="309"/>
      <c r="B405" s="326" t="s">
        <v>695</v>
      </c>
      <c r="C405" s="108" t="s">
        <v>0</v>
      </c>
      <c r="D405" s="108">
        <f>D406</f>
        <v>312.05</v>
      </c>
      <c r="E405" s="14"/>
      <c r="F405" s="14"/>
      <c r="G405" s="14"/>
      <c r="H405" s="14"/>
      <c r="I405" s="14"/>
      <c r="J405" s="210"/>
      <c r="K405" s="319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  <c r="AA405" s="358"/>
      <c r="AB405" s="358"/>
      <c r="AC405" s="358"/>
      <c r="AD405" s="358"/>
      <c r="AE405" s="358"/>
      <c r="AF405" s="358"/>
      <c r="AG405" s="358"/>
      <c r="AH405" s="358"/>
      <c r="AI405" s="358"/>
      <c r="AJ405" s="358"/>
      <c r="AK405" s="358"/>
      <c r="AL405" s="358"/>
      <c r="AM405" s="358"/>
      <c r="AN405" s="358"/>
      <c r="AO405" s="358"/>
      <c r="AP405" s="358"/>
    </row>
    <row r="406" spans="1:42" s="320" customFormat="1" ht="15" outlineLevel="2" x14ac:dyDescent="0.25">
      <c r="A406" s="321"/>
      <c r="B406" s="54" t="s">
        <v>477</v>
      </c>
      <c r="C406" s="244" t="s">
        <v>0</v>
      </c>
      <c r="D406" s="244">
        <f>25.4+23.91+164+98.74</f>
        <v>312.05</v>
      </c>
      <c r="E406" s="14"/>
      <c r="F406" s="14"/>
      <c r="G406" s="14"/>
      <c r="H406" s="14"/>
      <c r="I406" s="14"/>
      <c r="J406" s="294"/>
      <c r="K406" s="319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  <c r="AA406" s="358"/>
      <c r="AB406" s="358"/>
      <c r="AC406" s="358"/>
      <c r="AD406" s="358"/>
      <c r="AE406" s="358"/>
      <c r="AF406" s="358"/>
      <c r="AG406" s="358"/>
      <c r="AH406" s="358"/>
      <c r="AI406" s="358"/>
      <c r="AJ406" s="358"/>
      <c r="AK406" s="358"/>
      <c r="AL406" s="358"/>
      <c r="AM406" s="358"/>
      <c r="AN406" s="358"/>
      <c r="AO406" s="358"/>
      <c r="AP406" s="358"/>
    </row>
    <row r="407" spans="1:42" s="320" customFormat="1" ht="15" outlineLevel="1" x14ac:dyDescent="0.25">
      <c r="A407" s="412"/>
      <c r="B407" s="372" t="s">
        <v>478</v>
      </c>
      <c r="C407" s="372"/>
      <c r="D407" s="372"/>
      <c r="E407" s="383"/>
      <c r="F407" s="383"/>
      <c r="G407" s="383"/>
      <c r="H407" s="383"/>
      <c r="I407" s="383"/>
      <c r="J407" s="295"/>
      <c r="K407" s="319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  <c r="AA407" s="358"/>
      <c r="AB407" s="358"/>
      <c r="AC407" s="358"/>
      <c r="AD407" s="358"/>
      <c r="AE407" s="358"/>
      <c r="AF407" s="358"/>
      <c r="AG407" s="358"/>
      <c r="AH407" s="358"/>
      <c r="AI407" s="358"/>
      <c r="AJ407" s="358"/>
      <c r="AK407" s="358"/>
      <c r="AL407" s="358"/>
      <c r="AM407" s="358"/>
      <c r="AN407" s="358"/>
      <c r="AO407" s="358"/>
      <c r="AP407" s="358"/>
    </row>
    <row r="408" spans="1:42" s="320" customFormat="1" ht="15" outlineLevel="1" x14ac:dyDescent="0.25">
      <c r="A408" s="412"/>
      <c r="B408" s="372" t="s">
        <v>479</v>
      </c>
      <c r="C408" s="383"/>
      <c r="D408" s="383"/>
      <c r="E408" s="383"/>
      <c r="F408" s="383"/>
      <c r="G408" s="383"/>
      <c r="H408" s="383"/>
      <c r="I408" s="383"/>
      <c r="J408" s="301"/>
      <c r="K408" s="319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  <c r="AA408" s="358"/>
      <c r="AB408" s="358"/>
      <c r="AC408" s="358"/>
      <c r="AD408" s="358"/>
      <c r="AE408" s="358"/>
      <c r="AF408" s="358"/>
      <c r="AG408" s="358"/>
      <c r="AH408" s="358"/>
      <c r="AI408" s="358"/>
      <c r="AJ408" s="358"/>
      <c r="AK408" s="358"/>
      <c r="AL408" s="358"/>
      <c r="AM408" s="358"/>
      <c r="AN408" s="358"/>
      <c r="AO408" s="358"/>
      <c r="AP408" s="358"/>
    </row>
    <row r="409" spans="1:42" s="320" customFormat="1" ht="15" outlineLevel="1" x14ac:dyDescent="0.25">
      <c r="A409" s="309"/>
      <c r="B409" s="65" t="s">
        <v>688</v>
      </c>
      <c r="C409" s="108" t="s">
        <v>0</v>
      </c>
      <c r="D409" s="108">
        <f>D410</f>
        <v>180</v>
      </c>
      <c r="E409" s="14"/>
      <c r="F409" s="14"/>
      <c r="G409" s="14"/>
      <c r="H409" s="14"/>
      <c r="I409" s="14"/>
      <c r="J409" s="210"/>
      <c r="K409" s="319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  <c r="AA409" s="358"/>
      <c r="AB409" s="358"/>
      <c r="AC409" s="358"/>
      <c r="AD409" s="358"/>
      <c r="AE409" s="358"/>
      <c r="AF409" s="358"/>
      <c r="AG409" s="358"/>
      <c r="AH409" s="358"/>
      <c r="AI409" s="358"/>
      <c r="AJ409" s="358"/>
      <c r="AK409" s="358"/>
      <c r="AL409" s="358"/>
      <c r="AM409" s="358"/>
      <c r="AN409" s="358"/>
      <c r="AO409" s="358"/>
      <c r="AP409" s="358"/>
    </row>
    <row r="410" spans="1:42" s="358" customFormat="1" ht="15" outlineLevel="2" x14ac:dyDescent="0.25">
      <c r="A410" s="368"/>
      <c r="B410" s="361" t="s">
        <v>689</v>
      </c>
      <c r="C410" s="194" t="s">
        <v>0</v>
      </c>
      <c r="D410" s="254">
        <v>180</v>
      </c>
      <c r="E410" s="360"/>
      <c r="F410" s="360"/>
      <c r="G410" s="360"/>
      <c r="H410" s="360"/>
      <c r="I410" s="360"/>
      <c r="J410" s="299"/>
      <c r="K410" s="362"/>
    </row>
    <row r="411" spans="1:42" s="320" customFormat="1" ht="15" outlineLevel="1" x14ac:dyDescent="0.25">
      <c r="A411" s="309"/>
      <c r="B411" s="259" t="s">
        <v>483</v>
      </c>
      <c r="C411" s="108" t="s">
        <v>89</v>
      </c>
      <c r="D411" s="108">
        <f>D412</f>
        <v>101</v>
      </c>
      <c r="E411" s="14"/>
      <c r="F411" s="14"/>
      <c r="G411" s="14"/>
      <c r="H411" s="14"/>
      <c r="I411" s="14"/>
      <c r="J411" s="210"/>
      <c r="K411" s="319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  <c r="AA411" s="358"/>
      <c r="AB411" s="358"/>
      <c r="AC411" s="358"/>
      <c r="AD411" s="358"/>
      <c r="AE411" s="358"/>
      <c r="AF411" s="358"/>
      <c r="AG411" s="358"/>
      <c r="AH411" s="358"/>
      <c r="AI411" s="358"/>
      <c r="AJ411" s="358"/>
      <c r="AK411" s="358"/>
      <c r="AL411" s="358"/>
      <c r="AM411" s="358"/>
      <c r="AN411" s="358"/>
      <c r="AO411" s="358"/>
      <c r="AP411" s="358"/>
    </row>
    <row r="412" spans="1:42" s="358" customFormat="1" ht="15" outlineLevel="2" x14ac:dyDescent="0.25">
      <c r="A412" s="304"/>
      <c r="B412" s="367" t="s">
        <v>699</v>
      </c>
      <c r="C412" s="363" t="s">
        <v>89</v>
      </c>
      <c r="D412" s="363">
        <v>101</v>
      </c>
      <c r="E412" s="360"/>
      <c r="F412" s="360"/>
      <c r="G412" s="360"/>
      <c r="H412" s="360"/>
      <c r="I412" s="360"/>
      <c r="J412" s="299" t="s">
        <v>700</v>
      </c>
      <c r="K412" s="362"/>
    </row>
    <row r="413" spans="1:42" s="358" customFormat="1" ht="15" outlineLevel="2" x14ac:dyDescent="0.25">
      <c r="A413" s="368"/>
      <c r="B413" s="367" t="s">
        <v>395</v>
      </c>
      <c r="C413" s="363" t="s">
        <v>0</v>
      </c>
      <c r="D413" s="363">
        <v>0.08</v>
      </c>
      <c r="E413" s="360"/>
      <c r="F413" s="360"/>
      <c r="G413" s="360"/>
      <c r="H413" s="360"/>
      <c r="I413" s="360"/>
      <c r="J413" s="299" t="s">
        <v>698</v>
      </c>
      <c r="K413" s="362"/>
    </row>
    <row r="414" spans="1:42" s="358" customFormat="1" ht="15" outlineLevel="2" x14ac:dyDescent="0.25">
      <c r="A414" s="368"/>
      <c r="B414" s="367" t="s">
        <v>393</v>
      </c>
      <c r="C414" s="363" t="s">
        <v>390</v>
      </c>
      <c r="D414" s="363">
        <v>7.9</v>
      </c>
      <c r="E414" s="360"/>
      <c r="F414" s="360"/>
      <c r="G414" s="360"/>
      <c r="H414" s="360"/>
      <c r="I414" s="360"/>
      <c r="J414" s="299" t="s">
        <v>697</v>
      </c>
      <c r="K414" s="362"/>
    </row>
    <row r="415" spans="1:42" s="358" customFormat="1" ht="15" outlineLevel="2" x14ac:dyDescent="0.25">
      <c r="A415" s="368"/>
      <c r="B415" s="367" t="s">
        <v>485</v>
      </c>
      <c r="C415" s="363" t="s">
        <v>0</v>
      </c>
      <c r="D415" s="363">
        <v>0.01</v>
      </c>
      <c r="E415" s="360"/>
      <c r="F415" s="360"/>
      <c r="G415" s="360"/>
      <c r="H415" s="360"/>
      <c r="I415" s="360"/>
      <c r="J415" s="299" t="s">
        <v>697</v>
      </c>
      <c r="K415" s="362"/>
    </row>
    <row r="416" spans="1:42" s="320" customFormat="1" ht="15" outlineLevel="1" x14ac:dyDescent="0.25">
      <c r="A416" s="309"/>
      <c r="B416" s="259" t="s">
        <v>486</v>
      </c>
      <c r="C416" s="108" t="s">
        <v>33</v>
      </c>
      <c r="D416" s="313">
        <f>SUM(D417:D421)</f>
        <v>7.92</v>
      </c>
      <c r="E416" s="313"/>
      <c r="F416" s="14"/>
      <c r="G416" s="14"/>
      <c r="H416" s="14"/>
      <c r="I416" s="14"/>
      <c r="J416" s="210"/>
      <c r="K416" s="319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  <c r="AA416" s="358"/>
      <c r="AB416" s="358"/>
      <c r="AC416" s="358"/>
      <c r="AD416" s="358"/>
      <c r="AE416" s="358"/>
      <c r="AF416" s="358"/>
      <c r="AG416" s="358"/>
      <c r="AH416" s="358"/>
      <c r="AI416" s="358"/>
      <c r="AJ416" s="358"/>
      <c r="AK416" s="358"/>
      <c r="AL416" s="358"/>
      <c r="AM416" s="358"/>
      <c r="AN416" s="358"/>
      <c r="AO416" s="358"/>
      <c r="AP416" s="358"/>
    </row>
    <row r="417" spans="1:42" s="320" customFormat="1" ht="15" outlineLevel="2" x14ac:dyDescent="0.25">
      <c r="A417" s="368"/>
      <c r="B417" s="324" t="s">
        <v>459</v>
      </c>
      <c r="C417" s="244" t="s">
        <v>33</v>
      </c>
      <c r="D417" s="74">
        <f>279/1000</f>
        <v>0.28000000000000003</v>
      </c>
      <c r="E417" s="14"/>
      <c r="F417" s="14"/>
      <c r="G417" s="14"/>
      <c r="H417" s="14"/>
      <c r="I417" s="14"/>
      <c r="J417" s="294"/>
      <c r="K417" s="319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  <c r="AA417" s="358"/>
      <c r="AB417" s="358"/>
      <c r="AC417" s="358"/>
      <c r="AD417" s="358"/>
      <c r="AE417" s="358"/>
      <c r="AF417" s="358"/>
      <c r="AG417" s="358"/>
      <c r="AH417" s="358"/>
      <c r="AI417" s="358"/>
      <c r="AJ417" s="358"/>
      <c r="AK417" s="358"/>
      <c r="AL417" s="358"/>
      <c r="AM417" s="358"/>
      <c r="AN417" s="358"/>
      <c r="AO417" s="358"/>
      <c r="AP417" s="358"/>
    </row>
    <row r="418" spans="1:42" s="320" customFormat="1" ht="15" outlineLevel="2" x14ac:dyDescent="0.25">
      <c r="A418" s="368"/>
      <c r="B418" s="324" t="s">
        <v>488</v>
      </c>
      <c r="C418" s="244" t="s">
        <v>33</v>
      </c>
      <c r="D418" s="74">
        <f>1447.38/1000</f>
        <v>1.45</v>
      </c>
      <c r="E418" s="14"/>
      <c r="F418" s="14"/>
      <c r="G418" s="14"/>
      <c r="H418" s="14"/>
      <c r="I418" s="14"/>
      <c r="J418" s="294"/>
      <c r="K418" s="319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  <c r="AA418" s="358"/>
      <c r="AB418" s="358"/>
      <c r="AC418" s="358"/>
      <c r="AD418" s="358"/>
      <c r="AE418" s="358"/>
      <c r="AF418" s="358"/>
      <c r="AG418" s="358"/>
      <c r="AH418" s="358"/>
      <c r="AI418" s="358"/>
      <c r="AJ418" s="358"/>
      <c r="AK418" s="358"/>
      <c r="AL418" s="358"/>
      <c r="AM418" s="358"/>
      <c r="AN418" s="358"/>
      <c r="AO418" s="358"/>
      <c r="AP418" s="358"/>
    </row>
    <row r="419" spans="1:42" s="320" customFormat="1" ht="15" outlineLevel="2" x14ac:dyDescent="0.25">
      <c r="A419" s="368"/>
      <c r="B419" s="324" t="s">
        <v>450</v>
      </c>
      <c r="C419" s="244" t="s">
        <v>33</v>
      </c>
      <c r="D419" s="74">
        <f>119/1000</f>
        <v>0.12</v>
      </c>
      <c r="E419" s="14"/>
      <c r="F419" s="14"/>
      <c r="G419" s="14"/>
      <c r="H419" s="14"/>
      <c r="I419" s="14"/>
      <c r="J419" s="294"/>
      <c r="K419" s="319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  <c r="AA419" s="358"/>
      <c r="AB419" s="358"/>
      <c r="AC419" s="358"/>
      <c r="AD419" s="358"/>
      <c r="AE419" s="358"/>
      <c r="AF419" s="358"/>
      <c r="AG419" s="358"/>
      <c r="AH419" s="358"/>
      <c r="AI419" s="358"/>
      <c r="AJ419" s="358"/>
      <c r="AK419" s="358"/>
      <c r="AL419" s="358"/>
      <c r="AM419" s="358"/>
      <c r="AN419" s="358"/>
      <c r="AO419" s="358"/>
      <c r="AP419" s="358"/>
    </row>
    <row r="420" spans="1:42" s="320" customFormat="1" ht="15" outlineLevel="2" x14ac:dyDescent="0.25">
      <c r="A420" s="368"/>
      <c r="B420" s="324" t="s">
        <v>426</v>
      </c>
      <c r="C420" s="244" t="s">
        <v>33</v>
      </c>
      <c r="D420" s="74">
        <f>3157.39/1000</f>
        <v>3.16</v>
      </c>
      <c r="E420" s="14"/>
      <c r="F420" s="14"/>
      <c r="G420" s="14"/>
      <c r="H420" s="14"/>
      <c r="I420" s="14"/>
      <c r="J420" s="294"/>
      <c r="K420" s="319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  <c r="AA420" s="358"/>
      <c r="AB420" s="358"/>
      <c r="AC420" s="358"/>
      <c r="AD420" s="358"/>
      <c r="AE420" s="358"/>
      <c r="AF420" s="358"/>
      <c r="AG420" s="358"/>
      <c r="AH420" s="358"/>
      <c r="AI420" s="358"/>
      <c r="AJ420" s="358"/>
      <c r="AK420" s="358"/>
      <c r="AL420" s="358"/>
      <c r="AM420" s="358"/>
      <c r="AN420" s="358"/>
      <c r="AO420" s="358"/>
      <c r="AP420" s="358"/>
    </row>
    <row r="421" spans="1:42" s="320" customFormat="1" ht="15" outlineLevel="2" x14ac:dyDescent="0.25">
      <c r="A421" s="368"/>
      <c r="B421" s="324" t="s">
        <v>440</v>
      </c>
      <c r="C421" s="244" t="s">
        <v>33</v>
      </c>
      <c r="D421" s="74">
        <f>2912.16/1000</f>
        <v>2.91</v>
      </c>
      <c r="E421" s="14"/>
      <c r="F421" s="14"/>
      <c r="G421" s="14"/>
      <c r="H421" s="14"/>
      <c r="I421" s="14"/>
      <c r="J421" s="294"/>
      <c r="K421" s="319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  <c r="AA421" s="358"/>
      <c r="AB421" s="358"/>
      <c r="AC421" s="358"/>
      <c r="AD421" s="358"/>
      <c r="AE421" s="358"/>
      <c r="AF421" s="358"/>
      <c r="AG421" s="358"/>
      <c r="AH421" s="358"/>
      <c r="AI421" s="358"/>
      <c r="AJ421" s="358"/>
      <c r="AK421" s="358"/>
      <c r="AL421" s="358"/>
      <c r="AM421" s="358"/>
      <c r="AN421" s="358"/>
      <c r="AO421" s="358"/>
      <c r="AP421" s="358"/>
    </row>
    <row r="422" spans="1:42" s="320" customFormat="1" ht="15" outlineLevel="1" x14ac:dyDescent="0.25">
      <c r="A422" s="309"/>
      <c r="B422" s="327" t="s">
        <v>489</v>
      </c>
      <c r="C422" s="108" t="s">
        <v>0</v>
      </c>
      <c r="D422" s="111">
        <v>54</v>
      </c>
      <c r="E422" s="14"/>
      <c r="F422" s="14"/>
      <c r="G422" s="14"/>
      <c r="H422" s="14"/>
      <c r="I422" s="14"/>
      <c r="J422" s="210"/>
      <c r="K422" s="319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  <c r="AA422" s="358"/>
      <c r="AB422" s="358"/>
      <c r="AC422" s="358"/>
      <c r="AD422" s="358"/>
      <c r="AE422" s="358"/>
      <c r="AF422" s="358"/>
      <c r="AG422" s="358"/>
      <c r="AH422" s="358"/>
      <c r="AI422" s="358"/>
      <c r="AJ422" s="358"/>
      <c r="AK422" s="358"/>
      <c r="AL422" s="358"/>
      <c r="AM422" s="358"/>
      <c r="AN422" s="358"/>
      <c r="AO422" s="358"/>
      <c r="AP422" s="358"/>
    </row>
    <row r="423" spans="1:42" s="320" customFormat="1" ht="15" outlineLevel="2" x14ac:dyDescent="0.25">
      <c r="A423" s="368"/>
      <c r="B423" s="54" t="s">
        <v>490</v>
      </c>
      <c r="C423" s="244" t="s">
        <v>0</v>
      </c>
      <c r="D423" s="310">
        <v>54</v>
      </c>
      <c r="E423" s="14"/>
      <c r="F423" s="14"/>
      <c r="G423" s="14"/>
      <c r="H423" s="14"/>
      <c r="I423" s="14"/>
      <c r="J423" s="294"/>
      <c r="K423" s="319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  <c r="AA423" s="358"/>
      <c r="AB423" s="358"/>
      <c r="AC423" s="358"/>
      <c r="AD423" s="358"/>
      <c r="AE423" s="358"/>
      <c r="AF423" s="358"/>
      <c r="AG423" s="358"/>
      <c r="AH423" s="358"/>
      <c r="AI423" s="358"/>
      <c r="AJ423" s="358"/>
      <c r="AK423" s="358"/>
      <c r="AL423" s="358"/>
      <c r="AM423" s="358"/>
      <c r="AN423" s="358"/>
      <c r="AO423" s="358"/>
      <c r="AP423" s="358"/>
    </row>
    <row r="424" spans="1:42" s="320" customFormat="1" ht="15" outlineLevel="1" x14ac:dyDescent="0.25">
      <c r="A424" s="309"/>
      <c r="B424" s="327" t="s">
        <v>492</v>
      </c>
      <c r="C424" s="108" t="str">
        <f>C427</f>
        <v>пм</v>
      </c>
      <c r="D424" s="108">
        <f>D427</f>
        <v>36.299999999999997</v>
      </c>
      <c r="E424" s="14"/>
      <c r="F424" s="14"/>
      <c r="G424" s="14"/>
      <c r="H424" s="14"/>
      <c r="I424" s="14"/>
      <c r="J424" s="210"/>
      <c r="K424" s="319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  <c r="AA424" s="358"/>
      <c r="AB424" s="358"/>
      <c r="AC424" s="358"/>
      <c r="AD424" s="358"/>
      <c r="AE424" s="358"/>
      <c r="AF424" s="358"/>
      <c r="AG424" s="358"/>
      <c r="AH424" s="358"/>
      <c r="AI424" s="358"/>
      <c r="AJ424" s="358"/>
      <c r="AK424" s="358"/>
      <c r="AL424" s="358"/>
      <c r="AM424" s="358"/>
      <c r="AN424" s="358"/>
      <c r="AO424" s="358"/>
      <c r="AP424" s="358"/>
    </row>
    <row r="425" spans="1:42" s="320" customFormat="1" ht="15" outlineLevel="2" x14ac:dyDescent="0.25">
      <c r="A425" s="368"/>
      <c r="B425" s="54" t="s">
        <v>493</v>
      </c>
      <c r="C425" s="244" t="s">
        <v>0</v>
      </c>
      <c r="D425" s="310">
        <v>0.1</v>
      </c>
      <c r="E425" s="360"/>
      <c r="F425" s="360"/>
      <c r="G425" s="360"/>
      <c r="H425" s="360"/>
      <c r="I425" s="360"/>
      <c r="J425" s="294" t="s">
        <v>494</v>
      </c>
      <c r="K425" s="319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  <c r="AA425" s="358"/>
      <c r="AB425" s="358"/>
      <c r="AC425" s="358"/>
      <c r="AD425" s="358"/>
      <c r="AE425" s="358"/>
      <c r="AF425" s="358"/>
      <c r="AG425" s="358"/>
      <c r="AH425" s="358"/>
      <c r="AI425" s="358"/>
      <c r="AJ425" s="358"/>
      <c r="AK425" s="358"/>
      <c r="AL425" s="358"/>
      <c r="AM425" s="358"/>
      <c r="AN425" s="358"/>
      <c r="AO425" s="358"/>
      <c r="AP425" s="358"/>
    </row>
    <row r="426" spans="1:42" s="320" customFormat="1" ht="15" outlineLevel="2" x14ac:dyDescent="0.25">
      <c r="A426" s="368"/>
      <c r="B426" s="54" t="s">
        <v>395</v>
      </c>
      <c r="C426" s="244" t="s">
        <v>0</v>
      </c>
      <c r="D426" s="310">
        <v>1.1000000000000001</v>
      </c>
      <c r="E426" s="360"/>
      <c r="F426" s="360"/>
      <c r="G426" s="360"/>
      <c r="H426" s="360"/>
      <c r="I426" s="360"/>
      <c r="J426" s="294" t="s">
        <v>396</v>
      </c>
      <c r="K426" s="319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  <c r="AA426" s="358"/>
      <c r="AB426" s="358"/>
      <c r="AC426" s="358"/>
      <c r="AD426" s="358"/>
      <c r="AE426" s="358"/>
      <c r="AF426" s="358"/>
      <c r="AG426" s="358"/>
      <c r="AH426" s="358"/>
      <c r="AI426" s="358"/>
      <c r="AJ426" s="358"/>
      <c r="AK426" s="358"/>
      <c r="AL426" s="358"/>
      <c r="AM426" s="358"/>
      <c r="AN426" s="358"/>
      <c r="AO426" s="358"/>
      <c r="AP426" s="358"/>
    </row>
    <row r="427" spans="1:42" s="320" customFormat="1" ht="15" outlineLevel="2" x14ac:dyDescent="0.25">
      <c r="A427" s="368"/>
      <c r="B427" s="54" t="s">
        <v>495</v>
      </c>
      <c r="C427" s="244" t="s">
        <v>390</v>
      </c>
      <c r="D427" s="244">
        <v>36.299999999999997</v>
      </c>
      <c r="E427" s="360"/>
      <c r="F427" s="360"/>
      <c r="G427" s="360"/>
      <c r="H427" s="360"/>
      <c r="I427" s="360"/>
      <c r="J427" s="294" t="s">
        <v>496</v>
      </c>
      <c r="K427" s="319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  <c r="AA427" s="358"/>
      <c r="AB427" s="358"/>
      <c r="AC427" s="358"/>
      <c r="AD427" s="358"/>
      <c r="AE427" s="358"/>
      <c r="AF427" s="358"/>
      <c r="AG427" s="358"/>
      <c r="AH427" s="358"/>
      <c r="AI427" s="358"/>
      <c r="AJ427" s="358"/>
      <c r="AK427" s="358"/>
      <c r="AL427" s="358"/>
      <c r="AM427" s="358"/>
      <c r="AN427" s="358"/>
      <c r="AO427" s="358"/>
      <c r="AP427" s="358"/>
    </row>
    <row r="428" spans="1:42" s="320" customFormat="1" ht="15" outlineLevel="2" x14ac:dyDescent="0.25">
      <c r="A428" s="368"/>
      <c r="B428" s="54" t="s">
        <v>497</v>
      </c>
      <c r="C428" s="244" t="s">
        <v>390</v>
      </c>
      <c r="D428" s="244">
        <v>36.299999999999997</v>
      </c>
      <c r="E428" s="360"/>
      <c r="F428" s="360"/>
      <c r="G428" s="360"/>
      <c r="H428" s="360"/>
      <c r="I428" s="360"/>
      <c r="J428" s="294" t="s">
        <v>496</v>
      </c>
      <c r="K428" s="319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  <c r="AA428" s="358"/>
      <c r="AB428" s="358"/>
      <c r="AC428" s="358"/>
      <c r="AD428" s="358"/>
      <c r="AE428" s="358"/>
      <c r="AF428" s="358"/>
      <c r="AG428" s="358"/>
      <c r="AH428" s="358"/>
      <c r="AI428" s="358"/>
      <c r="AJ428" s="358"/>
      <c r="AK428" s="358"/>
      <c r="AL428" s="358"/>
      <c r="AM428" s="358"/>
      <c r="AN428" s="358"/>
      <c r="AO428" s="358"/>
      <c r="AP428" s="358"/>
    </row>
    <row r="429" spans="1:42" s="320" customFormat="1" ht="15" outlineLevel="2" x14ac:dyDescent="0.25">
      <c r="A429" s="368"/>
      <c r="B429" s="54" t="s">
        <v>393</v>
      </c>
      <c r="C429" s="244" t="s">
        <v>390</v>
      </c>
      <c r="D429" s="244">
        <v>130.65</v>
      </c>
      <c r="E429" s="360"/>
      <c r="F429" s="360"/>
      <c r="G429" s="360"/>
      <c r="H429" s="360"/>
      <c r="I429" s="360"/>
      <c r="J429" s="294" t="s">
        <v>394</v>
      </c>
      <c r="K429" s="319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  <c r="AA429" s="358"/>
      <c r="AB429" s="358"/>
      <c r="AC429" s="358"/>
      <c r="AD429" s="358"/>
      <c r="AE429" s="358"/>
      <c r="AF429" s="358"/>
      <c r="AG429" s="358"/>
      <c r="AH429" s="358"/>
      <c r="AI429" s="358"/>
      <c r="AJ429" s="358"/>
      <c r="AK429" s="358"/>
      <c r="AL429" s="358"/>
      <c r="AM429" s="358"/>
      <c r="AN429" s="358"/>
      <c r="AO429" s="358"/>
      <c r="AP429" s="358"/>
    </row>
    <row r="430" spans="1:42" s="320" customFormat="1" ht="15" outlineLevel="2" x14ac:dyDescent="0.25">
      <c r="A430" s="368"/>
      <c r="B430" s="54" t="s">
        <v>498</v>
      </c>
      <c r="C430" s="244" t="s">
        <v>60</v>
      </c>
      <c r="D430" s="244">
        <v>36.299999999999997</v>
      </c>
      <c r="E430" s="360"/>
      <c r="F430" s="360"/>
      <c r="G430" s="360"/>
      <c r="H430" s="360"/>
      <c r="I430" s="360"/>
      <c r="J430" s="294" t="s">
        <v>499</v>
      </c>
      <c r="K430" s="319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  <c r="AA430" s="358"/>
      <c r="AB430" s="358"/>
      <c r="AC430" s="358"/>
      <c r="AD430" s="358"/>
      <c r="AE430" s="358"/>
      <c r="AF430" s="358"/>
      <c r="AG430" s="358"/>
      <c r="AH430" s="358"/>
      <c r="AI430" s="358"/>
      <c r="AJ430" s="358"/>
      <c r="AK430" s="358"/>
      <c r="AL430" s="358"/>
      <c r="AM430" s="358"/>
      <c r="AN430" s="358"/>
      <c r="AO430" s="358"/>
      <c r="AP430" s="358"/>
    </row>
    <row r="431" spans="1:42" s="320" customFormat="1" ht="25.5" outlineLevel="1" x14ac:dyDescent="0.25">
      <c r="A431" s="309"/>
      <c r="B431" s="65" t="s">
        <v>684</v>
      </c>
      <c r="C431" s="108" t="s">
        <v>33</v>
      </c>
      <c r="D431" s="111">
        <f>SUM(D432:D442)</f>
        <v>98.71</v>
      </c>
      <c r="E431" s="14"/>
      <c r="F431" s="14"/>
      <c r="G431" s="14"/>
      <c r="H431" s="14"/>
      <c r="I431" s="14"/>
      <c r="J431" s="294"/>
      <c r="K431" s="868" t="s">
        <v>625</v>
      </c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  <c r="AA431" s="358"/>
      <c r="AB431" s="358"/>
      <c r="AC431" s="358"/>
      <c r="AD431" s="358"/>
      <c r="AE431" s="358"/>
      <c r="AF431" s="358"/>
      <c r="AG431" s="358"/>
      <c r="AH431" s="358"/>
      <c r="AI431" s="358"/>
      <c r="AJ431" s="358"/>
      <c r="AK431" s="358"/>
      <c r="AL431" s="358"/>
      <c r="AM431" s="358"/>
      <c r="AN431" s="358"/>
      <c r="AO431" s="358"/>
      <c r="AP431" s="358"/>
    </row>
    <row r="432" spans="1:42" s="320" customFormat="1" ht="15" outlineLevel="2" x14ac:dyDescent="0.25">
      <c r="A432" s="370"/>
      <c r="B432" s="324" t="s">
        <v>399</v>
      </c>
      <c r="C432" s="244" t="s">
        <v>33</v>
      </c>
      <c r="D432" s="369">
        <f>84.4/1000</f>
        <v>0.08</v>
      </c>
      <c r="E432" s="325"/>
      <c r="F432" s="14"/>
      <c r="G432" s="14"/>
      <c r="H432" s="14"/>
      <c r="I432" s="14"/>
      <c r="J432" s="294"/>
      <c r="K432" s="869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  <c r="AA432" s="358"/>
      <c r="AB432" s="358"/>
      <c r="AC432" s="358"/>
      <c r="AD432" s="358"/>
      <c r="AE432" s="358"/>
      <c r="AF432" s="358"/>
      <c r="AG432" s="358"/>
      <c r="AH432" s="358"/>
      <c r="AI432" s="358"/>
      <c r="AJ432" s="358"/>
      <c r="AK432" s="358"/>
      <c r="AL432" s="358"/>
      <c r="AM432" s="358"/>
      <c r="AN432" s="358"/>
      <c r="AO432" s="358"/>
      <c r="AP432" s="358"/>
    </row>
    <row r="433" spans="1:42" s="320" customFormat="1" ht="15" outlineLevel="2" x14ac:dyDescent="0.25">
      <c r="A433" s="368"/>
      <c r="B433" s="324" t="s">
        <v>459</v>
      </c>
      <c r="C433" s="244" t="s">
        <v>33</v>
      </c>
      <c r="D433" s="369">
        <f>1147/1000</f>
        <v>1.1499999999999999</v>
      </c>
      <c r="E433" s="325"/>
      <c r="F433" s="14"/>
      <c r="G433" s="14"/>
      <c r="H433" s="14"/>
      <c r="I433" s="14"/>
      <c r="J433" s="294"/>
      <c r="K433" s="869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  <c r="AA433" s="358"/>
      <c r="AB433" s="358"/>
      <c r="AC433" s="358"/>
      <c r="AD433" s="358"/>
      <c r="AE433" s="358"/>
      <c r="AF433" s="358"/>
      <c r="AG433" s="358"/>
      <c r="AH433" s="358"/>
      <c r="AI433" s="358"/>
      <c r="AJ433" s="358"/>
      <c r="AK433" s="358"/>
      <c r="AL433" s="358"/>
      <c r="AM433" s="358"/>
      <c r="AN433" s="358"/>
      <c r="AO433" s="358"/>
      <c r="AP433" s="358"/>
    </row>
    <row r="434" spans="1:42" s="320" customFormat="1" ht="15" outlineLevel="2" x14ac:dyDescent="0.25">
      <c r="A434" s="368"/>
      <c r="B434" s="324" t="s">
        <v>450</v>
      </c>
      <c r="C434" s="244" t="s">
        <v>33</v>
      </c>
      <c r="D434" s="369">
        <f>100/1000</f>
        <v>0.1</v>
      </c>
      <c r="E434" s="325"/>
      <c r="F434" s="14"/>
      <c r="G434" s="14"/>
      <c r="H434" s="14"/>
      <c r="I434" s="14"/>
      <c r="J434" s="294"/>
      <c r="K434" s="869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  <c r="AA434" s="358"/>
      <c r="AB434" s="358"/>
      <c r="AC434" s="358"/>
      <c r="AD434" s="358"/>
      <c r="AE434" s="358"/>
      <c r="AF434" s="358"/>
      <c r="AG434" s="358"/>
      <c r="AH434" s="358"/>
      <c r="AI434" s="358"/>
      <c r="AJ434" s="358"/>
      <c r="AK434" s="358"/>
      <c r="AL434" s="358"/>
      <c r="AM434" s="358"/>
      <c r="AN434" s="358"/>
      <c r="AO434" s="358"/>
      <c r="AP434" s="358"/>
    </row>
    <row r="435" spans="1:42" s="320" customFormat="1" ht="15" outlineLevel="2" x14ac:dyDescent="0.25">
      <c r="A435" s="368"/>
      <c r="B435" s="324" t="s">
        <v>401</v>
      </c>
      <c r="C435" s="244" t="s">
        <v>33</v>
      </c>
      <c r="D435" s="369">
        <f>1315.3/1000</f>
        <v>1.32</v>
      </c>
      <c r="E435" s="325"/>
      <c r="F435" s="14"/>
      <c r="G435" s="14"/>
      <c r="H435" s="14"/>
      <c r="I435" s="14"/>
      <c r="J435" s="294"/>
      <c r="K435" s="869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  <c r="AA435" s="358"/>
      <c r="AB435" s="358"/>
      <c r="AC435" s="358"/>
      <c r="AD435" s="358"/>
      <c r="AE435" s="358"/>
      <c r="AF435" s="358"/>
      <c r="AG435" s="358"/>
      <c r="AH435" s="358"/>
      <c r="AI435" s="358"/>
      <c r="AJ435" s="358"/>
      <c r="AK435" s="358"/>
      <c r="AL435" s="358"/>
      <c r="AM435" s="358"/>
      <c r="AN435" s="358"/>
      <c r="AO435" s="358"/>
      <c r="AP435" s="358"/>
    </row>
    <row r="436" spans="1:42" s="320" customFormat="1" ht="15" outlineLevel="2" x14ac:dyDescent="0.25">
      <c r="A436" s="368"/>
      <c r="B436" s="324" t="s">
        <v>426</v>
      </c>
      <c r="C436" s="244" t="s">
        <v>33</v>
      </c>
      <c r="D436" s="369">
        <f>3972.6/1000</f>
        <v>3.97</v>
      </c>
      <c r="E436" s="325"/>
      <c r="F436" s="14"/>
      <c r="G436" s="14"/>
      <c r="H436" s="14"/>
      <c r="I436" s="14"/>
      <c r="J436" s="294"/>
      <c r="K436" s="869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  <c r="AA436" s="358"/>
      <c r="AB436" s="358"/>
      <c r="AC436" s="358"/>
      <c r="AD436" s="358"/>
      <c r="AE436" s="358"/>
      <c r="AF436" s="358"/>
      <c r="AG436" s="358"/>
      <c r="AH436" s="358"/>
      <c r="AI436" s="358"/>
      <c r="AJ436" s="358"/>
      <c r="AK436" s="358"/>
      <c r="AL436" s="358"/>
      <c r="AM436" s="358"/>
      <c r="AN436" s="358"/>
      <c r="AO436" s="358"/>
      <c r="AP436" s="358"/>
    </row>
    <row r="437" spans="1:42" s="320" customFormat="1" ht="15" outlineLevel="2" x14ac:dyDescent="0.25">
      <c r="A437" s="368"/>
      <c r="B437" s="324" t="s">
        <v>427</v>
      </c>
      <c r="C437" s="244" t="s">
        <v>33</v>
      </c>
      <c r="D437" s="369">
        <f>5889.5/1000</f>
        <v>5.89</v>
      </c>
      <c r="E437" s="325"/>
      <c r="F437" s="14"/>
      <c r="G437" s="14"/>
      <c r="H437" s="14"/>
      <c r="I437" s="14"/>
      <c r="J437" s="294"/>
      <c r="K437" s="869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  <c r="AA437" s="358"/>
      <c r="AB437" s="358"/>
      <c r="AC437" s="358"/>
      <c r="AD437" s="358"/>
      <c r="AE437" s="358"/>
      <c r="AF437" s="358"/>
      <c r="AG437" s="358"/>
      <c r="AH437" s="358"/>
      <c r="AI437" s="358"/>
      <c r="AJ437" s="358"/>
      <c r="AK437" s="358"/>
      <c r="AL437" s="358"/>
      <c r="AM437" s="358"/>
      <c r="AN437" s="358"/>
      <c r="AO437" s="358"/>
      <c r="AP437" s="358"/>
    </row>
    <row r="438" spans="1:42" s="320" customFormat="1" ht="15" outlineLevel="2" x14ac:dyDescent="0.25">
      <c r="A438" s="368"/>
      <c r="B438" s="324" t="s">
        <v>440</v>
      </c>
      <c r="C438" s="244" t="s">
        <v>33</v>
      </c>
      <c r="D438" s="369">
        <f>134/1000</f>
        <v>0.13</v>
      </c>
      <c r="E438" s="325"/>
      <c r="F438" s="14"/>
      <c r="G438" s="14"/>
      <c r="H438" s="14"/>
      <c r="I438" s="14"/>
      <c r="J438" s="294"/>
      <c r="K438" s="869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  <c r="AA438" s="358"/>
      <c r="AB438" s="358"/>
      <c r="AC438" s="358"/>
      <c r="AD438" s="358"/>
      <c r="AE438" s="358"/>
      <c r="AF438" s="358"/>
      <c r="AG438" s="358"/>
      <c r="AH438" s="358"/>
      <c r="AI438" s="358"/>
      <c r="AJ438" s="358"/>
      <c r="AK438" s="358"/>
      <c r="AL438" s="358"/>
      <c r="AM438" s="358"/>
      <c r="AN438" s="358"/>
      <c r="AO438" s="358"/>
      <c r="AP438" s="358"/>
    </row>
    <row r="439" spans="1:42" s="320" customFormat="1" ht="15" outlineLevel="2" x14ac:dyDescent="0.25">
      <c r="A439" s="368"/>
      <c r="B439" s="324" t="s">
        <v>428</v>
      </c>
      <c r="C439" s="244" t="s">
        <v>33</v>
      </c>
      <c r="D439" s="369">
        <f>61594.1/1000</f>
        <v>61.59</v>
      </c>
      <c r="E439" s="325"/>
      <c r="F439" s="14"/>
      <c r="G439" s="14"/>
      <c r="H439" s="14"/>
      <c r="I439" s="14"/>
      <c r="J439" s="294"/>
      <c r="K439" s="869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  <c r="AA439" s="358"/>
      <c r="AB439" s="358"/>
      <c r="AC439" s="358"/>
      <c r="AD439" s="358"/>
      <c r="AE439" s="358"/>
      <c r="AF439" s="358"/>
      <c r="AG439" s="358"/>
      <c r="AH439" s="358"/>
      <c r="AI439" s="358"/>
      <c r="AJ439" s="358"/>
      <c r="AK439" s="358"/>
      <c r="AL439" s="358"/>
      <c r="AM439" s="358"/>
      <c r="AN439" s="358"/>
      <c r="AO439" s="358"/>
      <c r="AP439" s="358"/>
    </row>
    <row r="440" spans="1:42" s="320" customFormat="1" ht="15" outlineLevel="2" x14ac:dyDescent="0.25">
      <c r="A440" s="368"/>
      <c r="B440" s="324" t="s">
        <v>429</v>
      </c>
      <c r="C440" s="244" t="s">
        <v>33</v>
      </c>
      <c r="D440" s="369">
        <f>6864/1000</f>
        <v>6.86</v>
      </c>
      <c r="E440" s="325"/>
      <c r="F440" s="14"/>
      <c r="G440" s="14"/>
      <c r="H440" s="14"/>
      <c r="I440" s="14"/>
      <c r="J440" s="294"/>
      <c r="K440" s="869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  <c r="AA440" s="358"/>
      <c r="AB440" s="358"/>
      <c r="AC440" s="358"/>
      <c r="AD440" s="358"/>
      <c r="AE440" s="358"/>
      <c r="AF440" s="358"/>
      <c r="AG440" s="358"/>
      <c r="AH440" s="358"/>
      <c r="AI440" s="358"/>
      <c r="AJ440" s="358"/>
      <c r="AK440" s="358"/>
      <c r="AL440" s="358"/>
      <c r="AM440" s="358"/>
      <c r="AN440" s="358"/>
      <c r="AO440" s="358"/>
      <c r="AP440" s="358"/>
    </row>
    <row r="441" spans="1:42" s="320" customFormat="1" ht="15" outlineLevel="2" x14ac:dyDescent="0.25">
      <c r="A441" s="368"/>
      <c r="B441" s="324" t="s">
        <v>430</v>
      </c>
      <c r="C441" s="244" t="s">
        <v>33</v>
      </c>
      <c r="D441" s="369">
        <f>3069.8/1000</f>
        <v>3.07</v>
      </c>
      <c r="E441" s="325"/>
      <c r="F441" s="14"/>
      <c r="G441" s="14"/>
      <c r="H441" s="14"/>
      <c r="I441" s="14"/>
      <c r="J441" s="294"/>
      <c r="K441" s="869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  <c r="AA441" s="358"/>
      <c r="AB441" s="358"/>
      <c r="AC441" s="358"/>
      <c r="AD441" s="358"/>
      <c r="AE441" s="358"/>
      <c r="AF441" s="358"/>
      <c r="AG441" s="358"/>
      <c r="AH441" s="358"/>
      <c r="AI441" s="358"/>
      <c r="AJ441" s="358"/>
      <c r="AK441" s="358"/>
      <c r="AL441" s="358"/>
      <c r="AM441" s="358"/>
      <c r="AN441" s="358"/>
      <c r="AO441" s="358"/>
      <c r="AP441" s="358"/>
    </row>
    <row r="442" spans="1:42" s="320" customFormat="1" ht="15" outlineLevel="2" x14ac:dyDescent="0.25">
      <c r="A442" s="368"/>
      <c r="B442" s="324" t="s">
        <v>431</v>
      </c>
      <c r="C442" s="244" t="s">
        <v>33</v>
      </c>
      <c r="D442" s="369">
        <f>14548.2/1000</f>
        <v>14.55</v>
      </c>
      <c r="E442" s="325"/>
      <c r="F442" s="14"/>
      <c r="G442" s="14"/>
      <c r="H442" s="14"/>
      <c r="I442" s="14"/>
      <c r="J442" s="294"/>
      <c r="K442" s="869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  <c r="AA442" s="358"/>
      <c r="AB442" s="358"/>
      <c r="AC442" s="358"/>
      <c r="AD442" s="358"/>
      <c r="AE442" s="358"/>
      <c r="AF442" s="358"/>
      <c r="AG442" s="358"/>
      <c r="AH442" s="358"/>
      <c r="AI442" s="358"/>
      <c r="AJ442" s="358"/>
      <c r="AK442" s="358"/>
      <c r="AL442" s="358"/>
      <c r="AM442" s="358"/>
      <c r="AN442" s="358"/>
      <c r="AO442" s="358"/>
      <c r="AP442" s="358"/>
    </row>
    <row r="443" spans="1:42" s="320" customFormat="1" ht="25.5" outlineLevel="1" x14ac:dyDescent="0.25">
      <c r="A443" s="309"/>
      <c r="B443" s="65" t="s">
        <v>702</v>
      </c>
      <c r="C443" s="108" t="s">
        <v>0</v>
      </c>
      <c r="D443" s="111">
        <f>D444</f>
        <v>347</v>
      </c>
      <c r="E443" s="14"/>
      <c r="F443" s="14"/>
      <c r="G443" s="14"/>
      <c r="H443" s="14"/>
      <c r="I443" s="14"/>
      <c r="J443" s="210" t="s">
        <v>503</v>
      </c>
      <c r="K443" s="870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  <c r="AA443" s="358"/>
      <c r="AB443" s="358"/>
      <c r="AC443" s="358"/>
      <c r="AD443" s="358"/>
      <c r="AE443" s="358"/>
      <c r="AF443" s="358"/>
      <c r="AG443" s="358"/>
      <c r="AH443" s="358"/>
      <c r="AI443" s="358"/>
      <c r="AJ443" s="358"/>
      <c r="AK443" s="358"/>
      <c r="AL443" s="358"/>
      <c r="AM443" s="358"/>
      <c r="AN443" s="358"/>
      <c r="AO443" s="358"/>
      <c r="AP443" s="358"/>
    </row>
    <row r="444" spans="1:42" s="320" customFormat="1" ht="15" outlineLevel="2" x14ac:dyDescent="0.25">
      <c r="A444" s="371"/>
      <c r="B444" s="54" t="s">
        <v>414</v>
      </c>
      <c r="C444" s="244" t="s">
        <v>0</v>
      </c>
      <c r="D444" s="310">
        <v>347</v>
      </c>
      <c r="E444" s="54"/>
      <c r="F444" s="54"/>
      <c r="G444" s="54"/>
      <c r="H444" s="54"/>
      <c r="I444" s="54"/>
      <c r="J444" s="294" t="s">
        <v>491</v>
      </c>
      <c r="K444" s="319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  <c r="AA444" s="358"/>
      <c r="AB444" s="358"/>
      <c r="AC444" s="358"/>
      <c r="AD444" s="358"/>
      <c r="AE444" s="358"/>
      <c r="AF444" s="358"/>
      <c r="AG444" s="358"/>
      <c r="AH444" s="358"/>
      <c r="AI444" s="358"/>
      <c r="AJ444" s="358"/>
      <c r="AK444" s="358"/>
      <c r="AL444" s="358"/>
      <c r="AM444" s="358"/>
      <c r="AN444" s="358"/>
      <c r="AO444" s="358"/>
      <c r="AP444" s="358"/>
    </row>
    <row r="445" spans="1:42" s="320" customFormat="1" ht="15" outlineLevel="1" x14ac:dyDescent="0.25">
      <c r="A445" s="309"/>
      <c r="B445" s="327" t="s">
        <v>504</v>
      </c>
      <c r="C445" s="108" t="s">
        <v>390</v>
      </c>
      <c r="D445" s="108">
        <f>D448</f>
        <v>74.2</v>
      </c>
      <c r="E445" s="54"/>
      <c r="F445" s="54"/>
      <c r="G445" s="54"/>
      <c r="H445" s="54"/>
      <c r="I445" s="54"/>
      <c r="J445" s="294"/>
      <c r="K445" s="319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  <c r="AA445" s="358"/>
      <c r="AB445" s="358"/>
      <c r="AC445" s="358"/>
      <c r="AD445" s="358"/>
      <c r="AE445" s="358"/>
      <c r="AF445" s="358"/>
      <c r="AG445" s="358"/>
      <c r="AH445" s="358"/>
      <c r="AI445" s="358"/>
      <c r="AJ445" s="358"/>
      <c r="AK445" s="358"/>
      <c r="AL445" s="358"/>
      <c r="AM445" s="358"/>
      <c r="AN445" s="358"/>
      <c r="AO445" s="358"/>
      <c r="AP445" s="358"/>
    </row>
    <row r="446" spans="1:42" s="320" customFormat="1" ht="15" outlineLevel="2" x14ac:dyDescent="0.25">
      <c r="A446" s="371"/>
      <c r="B446" s="54" t="s">
        <v>493</v>
      </c>
      <c r="C446" s="244" t="s">
        <v>0</v>
      </c>
      <c r="D446" s="310">
        <v>0.2</v>
      </c>
      <c r="E446" s="54"/>
      <c r="F446" s="54"/>
      <c r="G446" s="54"/>
      <c r="H446" s="54"/>
      <c r="I446" s="54"/>
      <c r="J446" s="294" t="s">
        <v>494</v>
      </c>
      <c r="K446" s="319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  <c r="AA446" s="358"/>
      <c r="AB446" s="358"/>
      <c r="AC446" s="358"/>
      <c r="AD446" s="358"/>
      <c r="AE446" s="358"/>
      <c r="AF446" s="358"/>
      <c r="AG446" s="358"/>
      <c r="AH446" s="358"/>
      <c r="AI446" s="358"/>
      <c r="AJ446" s="358"/>
      <c r="AK446" s="358"/>
      <c r="AL446" s="358"/>
      <c r="AM446" s="358"/>
      <c r="AN446" s="358"/>
      <c r="AO446" s="358"/>
      <c r="AP446" s="358"/>
    </row>
    <row r="447" spans="1:42" s="320" customFormat="1" ht="15" outlineLevel="2" x14ac:dyDescent="0.25">
      <c r="A447" s="371"/>
      <c r="B447" s="54" t="s">
        <v>395</v>
      </c>
      <c r="C447" s="244" t="s">
        <v>0</v>
      </c>
      <c r="D447" s="310">
        <v>2.5</v>
      </c>
      <c r="E447" s="54"/>
      <c r="F447" s="54"/>
      <c r="G447" s="54"/>
      <c r="H447" s="54"/>
      <c r="I447" s="54"/>
      <c r="J447" s="294" t="s">
        <v>396</v>
      </c>
      <c r="K447" s="319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  <c r="AA447" s="358"/>
      <c r="AB447" s="358"/>
      <c r="AC447" s="358"/>
      <c r="AD447" s="358"/>
      <c r="AE447" s="358"/>
      <c r="AF447" s="358"/>
      <c r="AG447" s="358"/>
      <c r="AH447" s="358"/>
      <c r="AI447" s="358"/>
      <c r="AJ447" s="358"/>
      <c r="AK447" s="358"/>
      <c r="AL447" s="358"/>
      <c r="AM447" s="358"/>
      <c r="AN447" s="358"/>
      <c r="AO447" s="358"/>
      <c r="AP447" s="358"/>
    </row>
    <row r="448" spans="1:42" s="320" customFormat="1" ht="15" outlineLevel="2" x14ac:dyDescent="0.25">
      <c r="A448" s="371"/>
      <c r="B448" s="54" t="s">
        <v>495</v>
      </c>
      <c r="C448" s="244" t="s">
        <v>390</v>
      </c>
      <c r="D448" s="244">
        <v>74.2</v>
      </c>
      <c r="E448" s="54"/>
      <c r="F448" s="54"/>
      <c r="G448" s="54"/>
      <c r="H448" s="54"/>
      <c r="I448" s="54"/>
      <c r="J448" s="294" t="s">
        <v>496</v>
      </c>
      <c r="K448" s="319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  <c r="AA448" s="358"/>
      <c r="AB448" s="358"/>
      <c r="AC448" s="358"/>
      <c r="AD448" s="358"/>
      <c r="AE448" s="358"/>
      <c r="AF448" s="358"/>
      <c r="AG448" s="358"/>
      <c r="AH448" s="358"/>
      <c r="AI448" s="358"/>
      <c r="AJ448" s="358"/>
      <c r="AK448" s="358"/>
      <c r="AL448" s="358"/>
      <c r="AM448" s="358"/>
      <c r="AN448" s="358"/>
      <c r="AO448" s="358"/>
      <c r="AP448" s="358"/>
    </row>
    <row r="449" spans="1:42" s="320" customFormat="1" ht="15" outlineLevel="2" x14ac:dyDescent="0.25">
      <c r="A449" s="371"/>
      <c r="B449" s="54" t="s">
        <v>497</v>
      </c>
      <c r="C449" s="244" t="s">
        <v>390</v>
      </c>
      <c r="D449" s="244">
        <v>74.2</v>
      </c>
      <c r="E449" s="54"/>
      <c r="F449" s="54"/>
      <c r="G449" s="54"/>
      <c r="H449" s="54"/>
      <c r="I449" s="54"/>
      <c r="J449" s="294" t="s">
        <v>496</v>
      </c>
      <c r="K449" s="319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  <c r="AA449" s="358"/>
      <c r="AB449" s="358"/>
      <c r="AC449" s="358"/>
      <c r="AD449" s="358"/>
      <c r="AE449" s="358"/>
      <c r="AF449" s="358"/>
      <c r="AG449" s="358"/>
      <c r="AH449" s="358"/>
      <c r="AI449" s="358"/>
      <c r="AJ449" s="358"/>
      <c r="AK449" s="358"/>
      <c r="AL449" s="358"/>
      <c r="AM449" s="358"/>
      <c r="AN449" s="358"/>
      <c r="AO449" s="358"/>
      <c r="AP449" s="358"/>
    </row>
    <row r="450" spans="1:42" s="320" customFormat="1" ht="15" outlineLevel="2" x14ac:dyDescent="0.25">
      <c r="A450" s="371"/>
      <c r="B450" s="54" t="s">
        <v>393</v>
      </c>
      <c r="C450" s="244" t="s">
        <v>390</v>
      </c>
      <c r="D450" s="244">
        <v>267.93</v>
      </c>
      <c r="E450" s="54"/>
      <c r="F450" s="54"/>
      <c r="G450" s="54"/>
      <c r="H450" s="54"/>
      <c r="I450" s="54"/>
      <c r="J450" s="294" t="s">
        <v>394</v>
      </c>
      <c r="K450" s="319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  <c r="AA450" s="358"/>
      <c r="AB450" s="358"/>
      <c r="AC450" s="358"/>
      <c r="AD450" s="358"/>
      <c r="AE450" s="358"/>
      <c r="AF450" s="358"/>
      <c r="AG450" s="358"/>
      <c r="AH450" s="358"/>
      <c r="AI450" s="358"/>
      <c r="AJ450" s="358"/>
      <c r="AK450" s="358"/>
      <c r="AL450" s="358"/>
      <c r="AM450" s="358"/>
      <c r="AN450" s="358"/>
      <c r="AO450" s="358"/>
      <c r="AP450" s="358"/>
    </row>
    <row r="451" spans="1:42" s="320" customFormat="1" ht="15" outlineLevel="2" x14ac:dyDescent="0.25">
      <c r="A451" s="371"/>
      <c r="B451" s="54" t="s">
        <v>498</v>
      </c>
      <c r="C451" s="244" t="s">
        <v>60</v>
      </c>
      <c r="D451" s="310">
        <v>74.2</v>
      </c>
      <c r="E451" s="54"/>
      <c r="F451" s="54"/>
      <c r="G451" s="54"/>
      <c r="H451" s="54"/>
      <c r="I451" s="54"/>
      <c r="J451" s="294" t="s">
        <v>499</v>
      </c>
      <c r="K451" s="319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  <c r="AA451" s="358"/>
      <c r="AB451" s="358"/>
      <c r="AC451" s="358"/>
      <c r="AD451" s="358"/>
      <c r="AE451" s="358"/>
      <c r="AF451" s="358"/>
      <c r="AG451" s="358"/>
      <c r="AH451" s="358"/>
      <c r="AI451" s="358"/>
      <c r="AJ451" s="358"/>
      <c r="AK451" s="358"/>
      <c r="AL451" s="358"/>
      <c r="AM451" s="358"/>
      <c r="AN451" s="358"/>
      <c r="AO451" s="358"/>
      <c r="AP451" s="358"/>
    </row>
    <row r="452" spans="1:42" s="320" customFormat="1" ht="25.5" outlineLevel="1" x14ac:dyDescent="0.25">
      <c r="A452" s="309"/>
      <c r="B452" s="65" t="s">
        <v>505</v>
      </c>
      <c r="C452" s="108" t="s">
        <v>33</v>
      </c>
      <c r="D452" s="111">
        <f>SUM(D453:D463)</f>
        <v>201.18</v>
      </c>
      <c r="E452" s="54"/>
      <c r="F452" s="54"/>
      <c r="G452" s="54"/>
      <c r="H452" s="54"/>
      <c r="I452" s="54"/>
      <c r="J452" s="294"/>
      <c r="K452" s="319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  <c r="AA452" s="358"/>
      <c r="AB452" s="358"/>
      <c r="AC452" s="358"/>
      <c r="AD452" s="358"/>
      <c r="AE452" s="358"/>
      <c r="AF452" s="358"/>
      <c r="AG452" s="358"/>
      <c r="AH452" s="358"/>
      <c r="AI452" s="358"/>
      <c r="AJ452" s="358"/>
      <c r="AK452" s="358"/>
      <c r="AL452" s="358"/>
      <c r="AM452" s="358"/>
      <c r="AN452" s="358"/>
      <c r="AO452" s="358"/>
      <c r="AP452" s="358"/>
    </row>
    <row r="453" spans="1:42" s="320" customFormat="1" ht="15" outlineLevel="2" x14ac:dyDescent="0.25">
      <c r="A453" s="370"/>
      <c r="B453" s="324" t="s">
        <v>399</v>
      </c>
      <c r="C453" s="244" t="s">
        <v>33</v>
      </c>
      <c r="D453" s="310">
        <f>176.7/1000</f>
        <v>0.18</v>
      </c>
      <c r="E453" s="54"/>
      <c r="F453" s="54"/>
      <c r="G453" s="54"/>
      <c r="H453" s="54"/>
      <c r="I453" s="54"/>
      <c r="J453" s="294"/>
      <c r="K453" s="319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  <c r="AA453" s="358"/>
      <c r="AB453" s="358"/>
      <c r="AC453" s="358"/>
      <c r="AD453" s="358"/>
      <c r="AE453" s="358"/>
      <c r="AF453" s="358"/>
      <c r="AG453" s="358"/>
      <c r="AH453" s="358"/>
      <c r="AI453" s="358"/>
      <c r="AJ453" s="358"/>
      <c r="AK453" s="358"/>
      <c r="AL453" s="358"/>
      <c r="AM453" s="358"/>
      <c r="AN453" s="358"/>
      <c r="AO453" s="358"/>
      <c r="AP453" s="358"/>
    </row>
    <row r="454" spans="1:42" s="320" customFormat="1" ht="15" outlineLevel="2" x14ac:dyDescent="0.25">
      <c r="A454" s="368"/>
      <c r="B454" s="324" t="s">
        <v>459</v>
      </c>
      <c r="C454" s="244" t="s">
        <v>33</v>
      </c>
      <c r="D454" s="310">
        <f>2981.1/1000</f>
        <v>2.98</v>
      </c>
      <c r="E454" s="14"/>
      <c r="F454" s="14"/>
      <c r="G454" s="14"/>
      <c r="H454" s="14"/>
      <c r="I454" s="14"/>
      <c r="J454" s="294"/>
      <c r="K454" s="319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  <c r="AA454" s="358"/>
      <c r="AB454" s="358"/>
      <c r="AC454" s="358"/>
      <c r="AD454" s="358"/>
      <c r="AE454" s="358"/>
      <c r="AF454" s="358"/>
      <c r="AG454" s="358"/>
      <c r="AH454" s="358"/>
      <c r="AI454" s="358"/>
      <c r="AJ454" s="358"/>
      <c r="AK454" s="358"/>
      <c r="AL454" s="358"/>
      <c r="AM454" s="358"/>
      <c r="AN454" s="358"/>
      <c r="AO454" s="358"/>
      <c r="AP454" s="358"/>
    </row>
    <row r="455" spans="1:42" s="320" customFormat="1" ht="15" outlineLevel="2" x14ac:dyDescent="0.25">
      <c r="A455" s="368"/>
      <c r="B455" s="324" t="s">
        <v>450</v>
      </c>
      <c r="C455" s="244" t="s">
        <v>33</v>
      </c>
      <c r="D455" s="310">
        <f>235/1000</f>
        <v>0.24</v>
      </c>
      <c r="E455" s="14"/>
      <c r="F455" s="14"/>
      <c r="G455" s="14"/>
      <c r="H455" s="14"/>
      <c r="I455" s="14"/>
      <c r="J455" s="294"/>
      <c r="K455" s="319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  <c r="AA455" s="358"/>
      <c r="AB455" s="358"/>
      <c r="AC455" s="358"/>
      <c r="AD455" s="358"/>
      <c r="AE455" s="358"/>
      <c r="AF455" s="358"/>
      <c r="AG455" s="358"/>
      <c r="AH455" s="358"/>
      <c r="AI455" s="358"/>
      <c r="AJ455" s="358"/>
      <c r="AK455" s="358"/>
      <c r="AL455" s="358"/>
      <c r="AM455" s="358"/>
      <c r="AN455" s="358"/>
      <c r="AO455" s="358"/>
      <c r="AP455" s="358"/>
    </row>
    <row r="456" spans="1:42" s="320" customFormat="1" ht="15" outlineLevel="2" x14ac:dyDescent="0.25">
      <c r="A456" s="368"/>
      <c r="B456" s="324" t="s">
        <v>401</v>
      </c>
      <c r="C456" s="244" t="s">
        <v>33</v>
      </c>
      <c r="D456" s="310">
        <f>2982.8/1000</f>
        <v>2.98</v>
      </c>
      <c r="E456" s="14"/>
      <c r="F456" s="14"/>
      <c r="G456" s="14"/>
      <c r="H456" s="14"/>
      <c r="I456" s="14"/>
      <c r="J456" s="294"/>
      <c r="K456" s="319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  <c r="AA456" s="358"/>
      <c r="AB456" s="358"/>
      <c r="AC456" s="358"/>
      <c r="AD456" s="358"/>
      <c r="AE456" s="358"/>
      <c r="AF456" s="358"/>
      <c r="AG456" s="358"/>
      <c r="AH456" s="358"/>
      <c r="AI456" s="358"/>
      <c r="AJ456" s="358"/>
      <c r="AK456" s="358"/>
      <c r="AL456" s="358"/>
      <c r="AM456" s="358"/>
      <c r="AN456" s="358"/>
      <c r="AO456" s="358"/>
      <c r="AP456" s="358"/>
    </row>
    <row r="457" spans="1:42" s="320" customFormat="1" ht="15" outlineLevel="2" x14ac:dyDescent="0.25">
      <c r="A457" s="368"/>
      <c r="B457" s="324" t="s">
        <v>426</v>
      </c>
      <c r="C457" s="244" t="s">
        <v>33</v>
      </c>
      <c r="D457" s="310">
        <f>9788.5/1000</f>
        <v>9.7899999999999991</v>
      </c>
      <c r="E457" s="14"/>
      <c r="F457" s="14"/>
      <c r="G457" s="14"/>
      <c r="H457" s="14"/>
      <c r="I457" s="14"/>
      <c r="J457" s="294"/>
      <c r="K457" s="319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  <c r="AA457" s="358"/>
      <c r="AB457" s="358"/>
      <c r="AC457" s="358"/>
      <c r="AD457" s="358"/>
      <c r="AE457" s="358"/>
      <c r="AF457" s="358"/>
      <c r="AG457" s="358"/>
      <c r="AH457" s="358"/>
      <c r="AI457" s="358"/>
      <c r="AJ457" s="358"/>
      <c r="AK457" s="358"/>
      <c r="AL457" s="358"/>
      <c r="AM457" s="358"/>
      <c r="AN457" s="358"/>
      <c r="AO457" s="358"/>
      <c r="AP457" s="358"/>
    </row>
    <row r="458" spans="1:42" s="320" customFormat="1" ht="15" outlineLevel="2" x14ac:dyDescent="0.25">
      <c r="A458" s="368"/>
      <c r="B458" s="324" t="s">
        <v>427</v>
      </c>
      <c r="C458" s="244" t="s">
        <v>33</v>
      </c>
      <c r="D458" s="310">
        <f>12628.6/1000</f>
        <v>12.63</v>
      </c>
      <c r="E458" s="14"/>
      <c r="F458" s="14"/>
      <c r="G458" s="14"/>
      <c r="H458" s="14"/>
      <c r="I458" s="14"/>
      <c r="J458" s="294"/>
      <c r="K458" s="319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  <c r="AA458" s="358"/>
      <c r="AB458" s="358"/>
      <c r="AC458" s="358"/>
      <c r="AD458" s="358"/>
      <c r="AE458" s="358"/>
      <c r="AF458" s="358"/>
      <c r="AG458" s="358"/>
      <c r="AH458" s="358"/>
      <c r="AI458" s="358"/>
      <c r="AJ458" s="358"/>
      <c r="AK458" s="358"/>
      <c r="AL458" s="358"/>
      <c r="AM458" s="358"/>
      <c r="AN458" s="358"/>
      <c r="AO458" s="358"/>
      <c r="AP458" s="358"/>
    </row>
    <row r="459" spans="1:42" s="320" customFormat="1" ht="15" outlineLevel="2" x14ac:dyDescent="0.25">
      <c r="A459" s="368"/>
      <c r="B459" s="324" t="s">
        <v>440</v>
      </c>
      <c r="C459" s="244" t="s">
        <v>33</v>
      </c>
      <c r="D459" s="310">
        <f>499/1000</f>
        <v>0.5</v>
      </c>
      <c r="E459" s="14"/>
      <c r="F459" s="14"/>
      <c r="G459" s="14"/>
      <c r="H459" s="14"/>
      <c r="I459" s="14"/>
      <c r="J459" s="294"/>
      <c r="K459" s="319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  <c r="AA459" s="358"/>
      <c r="AB459" s="358"/>
      <c r="AC459" s="358"/>
      <c r="AD459" s="358"/>
      <c r="AE459" s="358"/>
      <c r="AF459" s="358"/>
      <c r="AG459" s="358"/>
      <c r="AH459" s="358"/>
      <c r="AI459" s="358"/>
      <c r="AJ459" s="358"/>
      <c r="AK459" s="358"/>
      <c r="AL459" s="358"/>
      <c r="AM459" s="358"/>
      <c r="AN459" s="358"/>
      <c r="AO459" s="358"/>
      <c r="AP459" s="358"/>
    </row>
    <row r="460" spans="1:42" s="320" customFormat="1" ht="15" outlineLevel="2" x14ac:dyDescent="0.25">
      <c r="A460" s="368"/>
      <c r="B460" s="324" t="s">
        <v>428</v>
      </c>
      <c r="C460" s="244" t="s">
        <v>33</v>
      </c>
      <c r="D460" s="310">
        <f>138085.3/1000</f>
        <v>138.09</v>
      </c>
      <c r="E460" s="14"/>
      <c r="F460" s="14"/>
      <c r="G460" s="14"/>
      <c r="H460" s="14"/>
      <c r="I460" s="14"/>
      <c r="J460" s="294"/>
      <c r="K460" s="319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  <c r="AA460" s="358"/>
      <c r="AB460" s="358"/>
      <c r="AC460" s="358"/>
      <c r="AD460" s="358"/>
      <c r="AE460" s="358"/>
      <c r="AF460" s="358"/>
      <c r="AG460" s="358"/>
      <c r="AH460" s="358"/>
      <c r="AI460" s="358"/>
      <c r="AJ460" s="358"/>
      <c r="AK460" s="358"/>
      <c r="AL460" s="358"/>
      <c r="AM460" s="358"/>
      <c r="AN460" s="358"/>
      <c r="AO460" s="358"/>
      <c r="AP460" s="358"/>
    </row>
    <row r="461" spans="1:42" s="320" customFormat="1" ht="15" outlineLevel="2" x14ac:dyDescent="0.25">
      <c r="A461" s="368"/>
      <c r="B461" s="324" t="s">
        <v>429</v>
      </c>
      <c r="C461" s="244" t="s">
        <v>33</v>
      </c>
      <c r="D461" s="310">
        <f>8187.5/1000</f>
        <v>8.19</v>
      </c>
      <c r="E461" s="14"/>
      <c r="F461" s="14"/>
      <c r="G461" s="14"/>
      <c r="H461" s="14"/>
      <c r="I461" s="14"/>
      <c r="J461" s="294"/>
      <c r="K461" s="319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  <c r="AA461" s="358"/>
      <c r="AB461" s="358"/>
      <c r="AC461" s="358"/>
      <c r="AD461" s="358"/>
      <c r="AE461" s="358"/>
      <c r="AF461" s="358"/>
      <c r="AG461" s="358"/>
      <c r="AH461" s="358"/>
      <c r="AI461" s="358"/>
      <c r="AJ461" s="358"/>
      <c r="AK461" s="358"/>
      <c r="AL461" s="358"/>
      <c r="AM461" s="358"/>
      <c r="AN461" s="358"/>
      <c r="AO461" s="358"/>
      <c r="AP461" s="358"/>
    </row>
    <row r="462" spans="1:42" s="320" customFormat="1" ht="15" outlineLevel="2" x14ac:dyDescent="0.25">
      <c r="A462" s="368"/>
      <c r="B462" s="324" t="s">
        <v>430</v>
      </c>
      <c r="C462" s="244" t="s">
        <v>33</v>
      </c>
      <c r="D462" s="74">
        <f>15364.8/1000</f>
        <v>15.36</v>
      </c>
      <c r="E462" s="14"/>
      <c r="F462" s="14"/>
      <c r="G462" s="14"/>
      <c r="H462" s="14"/>
      <c r="I462" s="14"/>
      <c r="J462" s="294"/>
      <c r="K462" s="319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  <c r="AA462" s="358"/>
      <c r="AB462" s="358"/>
      <c r="AC462" s="358"/>
      <c r="AD462" s="358"/>
      <c r="AE462" s="358"/>
      <c r="AF462" s="358"/>
      <c r="AG462" s="358"/>
      <c r="AH462" s="358"/>
      <c r="AI462" s="358"/>
      <c r="AJ462" s="358"/>
      <c r="AK462" s="358"/>
      <c r="AL462" s="358"/>
      <c r="AM462" s="358"/>
      <c r="AN462" s="358"/>
      <c r="AO462" s="358"/>
      <c r="AP462" s="358"/>
    </row>
    <row r="463" spans="1:42" s="320" customFormat="1" ht="15" outlineLevel="2" x14ac:dyDescent="0.25">
      <c r="A463" s="368"/>
      <c r="B463" s="324" t="s">
        <v>431</v>
      </c>
      <c r="C463" s="244" t="s">
        <v>33</v>
      </c>
      <c r="D463" s="74">
        <f>10238.4/1000</f>
        <v>10.24</v>
      </c>
      <c r="E463" s="14"/>
      <c r="F463" s="14"/>
      <c r="G463" s="14"/>
      <c r="H463" s="14"/>
      <c r="I463" s="14"/>
      <c r="J463" s="294"/>
      <c r="K463" s="319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  <c r="AA463" s="358"/>
      <c r="AB463" s="358"/>
      <c r="AC463" s="358"/>
      <c r="AD463" s="358"/>
      <c r="AE463" s="358"/>
      <c r="AF463" s="358"/>
      <c r="AG463" s="358"/>
      <c r="AH463" s="358"/>
      <c r="AI463" s="358"/>
      <c r="AJ463" s="358"/>
      <c r="AK463" s="358"/>
      <c r="AL463" s="358"/>
      <c r="AM463" s="358"/>
      <c r="AN463" s="358"/>
      <c r="AO463" s="358"/>
      <c r="AP463" s="358"/>
    </row>
    <row r="464" spans="1:42" s="320" customFormat="1" ht="25.5" outlineLevel="1" x14ac:dyDescent="0.25">
      <c r="A464" s="309"/>
      <c r="B464" s="65" t="s">
        <v>506</v>
      </c>
      <c r="C464" s="108" t="s">
        <v>0</v>
      </c>
      <c r="D464" s="111">
        <f>D465</f>
        <v>875</v>
      </c>
      <c r="E464" s="54"/>
      <c r="F464" s="54"/>
      <c r="G464" s="54"/>
      <c r="H464" s="54"/>
      <c r="I464" s="54"/>
      <c r="J464" s="72" t="s">
        <v>507</v>
      </c>
      <c r="K464" s="319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  <c r="AA464" s="358"/>
      <c r="AB464" s="358"/>
      <c r="AC464" s="358"/>
      <c r="AD464" s="358"/>
      <c r="AE464" s="358"/>
      <c r="AF464" s="358"/>
      <c r="AG464" s="358"/>
      <c r="AH464" s="358"/>
      <c r="AI464" s="358"/>
      <c r="AJ464" s="358"/>
      <c r="AK464" s="358"/>
      <c r="AL464" s="358"/>
      <c r="AM464" s="358"/>
      <c r="AN464" s="358"/>
      <c r="AO464" s="358"/>
      <c r="AP464" s="358"/>
    </row>
    <row r="465" spans="1:42" s="320" customFormat="1" ht="15" outlineLevel="2" x14ac:dyDescent="0.25">
      <c r="A465" s="371"/>
      <c r="B465" s="54" t="s">
        <v>414</v>
      </c>
      <c r="C465" s="244" t="s">
        <v>0</v>
      </c>
      <c r="D465" s="310">
        <v>875</v>
      </c>
      <c r="E465" s="54"/>
      <c r="F465" s="54"/>
      <c r="G465" s="54"/>
      <c r="H465" s="54"/>
      <c r="I465" s="54"/>
      <c r="J465" s="294"/>
      <c r="K465" s="319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  <c r="AA465" s="358"/>
      <c r="AB465" s="358"/>
      <c r="AC465" s="358"/>
      <c r="AD465" s="358"/>
      <c r="AE465" s="358"/>
      <c r="AF465" s="358"/>
      <c r="AG465" s="358"/>
      <c r="AH465" s="358"/>
      <c r="AI465" s="358"/>
      <c r="AJ465" s="358"/>
      <c r="AK465" s="358"/>
      <c r="AL465" s="358"/>
      <c r="AM465" s="358"/>
      <c r="AN465" s="358"/>
      <c r="AO465" s="358"/>
      <c r="AP465" s="358"/>
    </row>
    <row r="466" spans="1:42" s="63" customFormat="1" x14ac:dyDescent="0.25">
      <c r="A466" s="379" t="s">
        <v>6</v>
      </c>
      <c r="B466" s="380" t="s">
        <v>727</v>
      </c>
      <c r="C466" s="385" t="str">
        <f>C467</f>
        <v>м2</v>
      </c>
      <c r="D466" s="385" t="str">
        <f>D467</f>
        <v>1845</v>
      </c>
      <c r="E466" s="381"/>
      <c r="F466" s="381"/>
      <c r="G466" s="381"/>
      <c r="H466" s="381"/>
      <c r="I466" s="381"/>
      <c r="J466" s="382"/>
      <c r="K466" s="65"/>
      <c r="L466" s="338"/>
      <c r="M466" s="338"/>
      <c r="N466" s="338"/>
      <c r="O466" s="338"/>
      <c r="P466" s="338"/>
      <c r="Q466" s="338"/>
      <c r="R466" s="338"/>
      <c r="S466" s="338"/>
      <c r="T466" s="338"/>
      <c r="U466" s="338"/>
      <c r="V466" s="338"/>
      <c r="W466" s="338"/>
      <c r="X466" s="338"/>
      <c r="Y466" s="338"/>
      <c r="Z466" s="338"/>
      <c r="AA466" s="338"/>
      <c r="AB466" s="338"/>
      <c r="AC466" s="338"/>
      <c r="AD466" s="338"/>
      <c r="AE466" s="338"/>
      <c r="AF466" s="338"/>
      <c r="AG466" s="338"/>
      <c r="AH466" s="338"/>
      <c r="AI466" s="338"/>
      <c r="AJ466" s="338"/>
      <c r="AK466" s="338"/>
      <c r="AL466" s="338"/>
      <c r="AM466" s="338"/>
      <c r="AN466" s="338"/>
      <c r="AO466" s="338"/>
      <c r="AP466" s="338"/>
    </row>
    <row r="467" spans="1:42" s="27" customFormat="1" outlineLevel="1" x14ac:dyDescent="0.25">
      <c r="A467" s="10" t="s">
        <v>16</v>
      </c>
      <c r="B467" s="21" t="s">
        <v>725</v>
      </c>
      <c r="C467" s="23" t="s">
        <v>89</v>
      </c>
      <c r="D467" s="23" t="s">
        <v>512</v>
      </c>
      <c r="E467" s="26"/>
      <c r="F467" s="26"/>
      <c r="G467" s="26"/>
      <c r="H467" s="26"/>
      <c r="I467" s="26"/>
      <c r="J467" s="210"/>
      <c r="K467" s="56"/>
      <c r="L467" s="180"/>
      <c r="M467" s="180"/>
      <c r="N467" s="180"/>
      <c r="O467" s="180"/>
      <c r="P467" s="180"/>
      <c r="Q467" s="180"/>
      <c r="R467" s="180"/>
      <c r="S467" s="180"/>
      <c r="T467" s="180"/>
      <c r="U467" s="180"/>
      <c r="V467" s="180"/>
      <c r="W467" s="180"/>
      <c r="X467" s="180"/>
      <c r="Y467" s="180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</row>
    <row r="468" spans="1:42" s="27" customFormat="1" outlineLevel="2" x14ac:dyDescent="0.25">
      <c r="A468" s="10"/>
      <c r="B468" s="22" t="s">
        <v>726</v>
      </c>
      <c r="C468" s="25" t="s">
        <v>514</v>
      </c>
      <c r="D468" s="25" t="s">
        <v>515</v>
      </c>
      <c r="E468" s="19"/>
      <c r="F468" s="19"/>
      <c r="G468" s="19"/>
      <c r="H468" s="19"/>
      <c r="I468" s="19"/>
      <c r="J468" s="294" t="s">
        <v>516</v>
      </c>
      <c r="K468" s="56"/>
      <c r="L468" s="180"/>
      <c r="M468" s="180"/>
      <c r="N468" s="180"/>
      <c r="O468" s="180"/>
      <c r="P468" s="180"/>
      <c r="Q468" s="180"/>
      <c r="R468" s="180"/>
      <c r="S468" s="180"/>
      <c r="T468" s="180"/>
      <c r="U468" s="180"/>
      <c r="V468" s="180"/>
      <c r="W468" s="180"/>
      <c r="X468" s="180"/>
      <c r="Y468" s="180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</row>
    <row r="469" spans="1:42" s="27" customFormat="1" outlineLevel="1" x14ac:dyDescent="0.25">
      <c r="A469" s="10" t="s">
        <v>17</v>
      </c>
      <c r="B469" s="21" t="s">
        <v>686</v>
      </c>
      <c r="C469" s="23" t="s">
        <v>89</v>
      </c>
      <c r="D469" s="23" t="s">
        <v>518</v>
      </c>
      <c r="E469" s="352"/>
      <c r="F469" s="352"/>
      <c r="G469" s="352"/>
      <c r="H469" s="352"/>
      <c r="I469" s="352"/>
      <c r="J469" s="210" t="s">
        <v>687</v>
      </c>
      <c r="K469" s="56"/>
      <c r="L469" s="180"/>
      <c r="M469" s="180"/>
      <c r="N469" s="180"/>
      <c r="O469" s="180"/>
      <c r="P469" s="180"/>
      <c r="Q469" s="180"/>
      <c r="R469" s="180"/>
      <c r="S469" s="180"/>
      <c r="T469" s="180"/>
      <c r="U469" s="180"/>
      <c r="V469" s="180"/>
      <c r="W469" s="180"/>
      <c r="X469" s="180"/>
      <c r="Y469" s="18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</row>
    <row r="470" spans="1:42" s="27" customFormat="1" outlineLevel="2" x14ac:dyDescent="0.25">
      <c r="A470" s="10"/>
      <c r="B470" s="22" t="s">
        <v>519</v>
      </c>
      <c r="C470" s="25" t="s">
        <v>514</v>
      </c>
      <c r="D470" s="25" t="s">
        <v>51</v>
      </c>
      <c r="E470" s="352"/>
      <c r="F470" s="352"/>
      <c r="G470" s="352"/>
      <c r="H470" s="352"/>
      <c r="I470" s="352"/>
      <c r="J470" s="210"/>
      <c r="K470" s="56"/>
      <c r="L470" s="180"/>
      <c r="M470" s="180"/>
      <c r="N470" s="180"/>
      <c r="O470" s="180"/>
      <c r="P470" s="180"/>
      <c r="Q470" s="180"/>
      <c r="R470" s="180"/>
      <c r="S470" s="180"/>
      <c r="T470" s="180"/>
      <c r="U470" s="180"/>
      <c r="V470" s="180"/>
      <c r="W470" s="180"/>
      <c r="X470" s="180"/>
      <c r="Y470" s="180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</row>
    <row r="471" spans="1:42" s="27" customFormat="1" outlineLevel="1" x14ac:dyDescent="0.25">
      <c r="A471" s="10" t="s">
        <v>18</v>
      </c>
      <c r="B471" s="21" t="s">
        <v>520</v>
      </c>
      <c r="C471" s="23" t="s">
        <v>89</v>
      </c>
      <c r="D471" s="23" t="s">
        <v>518</v>
      </c>
      <c r="E471" s="26"/>
      <c r="F471" s="26"/>
      <c r="G471" s="26"/>
      <c r="H471" s="26"/>
      <c r="I471" s="26"/>
      <c r="J471" s="210"/>
      <c r="K471" s="56"/>
      <c r="L471" s="180"/>
      <c r="M471" s="180"/>
      <c r="N471" s="180"/>
      <c r="O471" s="180"/>
      <c r="P471" s="180"/>
      <c r="Q471" s="180"/>
      <c r="R471" s="180"/>
      <c r="S471" s="180"/>
      <c r="T471" s="180"/>
      <c r="U471" s="180"/>
      <c r="V471" s="180"/>
      <c r="W471" s="180"/>
      <c r="X471" s="180"/>
      <c r="Y471" s="180"/>
      <c r="Z471" s="180"/>
      <c r="AA471" s="180"/>
      <c r="AB471" s="180"/>
      <c r="AC471" s="180"/>
      <c r="AD471" s="180"/>
      <c r="AE471" s="180"/>
      <c r="AF471" s="180"/>
      <c r="AG471" s="180"/>
      <c r="AH471" s="180"/>
      <c r="AI471" s="180"/>
      <c r="AJ471" s="180"/>
      <c r="AK471" s="180"/>
      <c r="AL471" s="180"/>
      <c r="AM471" s="180"/>
      <c r="AN471" s="180"/>
      <c r="AO471" s="180"/>
      <c r="AP471" s="180"/>
    </row>
    <row r="472" spans="1:42" s="27" customFormat="1" outlineLevel="2" x14ac:dyDescent="0.25">
      <c r="A472" s="10"/>
      <c r="B472" s="22" t="s">
        <v>521</v>
      </c>
      <c r="C472" s="25" t="s">
        <v>514</v>
      </c>
      <c r="D472" s="25" t="s">
        <v>522</v>
      </c>
      <c r="E472" s="19"/>
      <c r="F472" s="19"/>
      <c r="G472" s="19"/>
      <c r="H472" s="19"/>
      <c r="I472" s="19"/>
      <c r="J472" s="294" t="s">
        <v>523</v>
      </c>
      <c r="K472" s="56"/>
      <c r="L472" s="180"/>
      <c r="M472" s="180"/>
      <c r="N472" s="180"/>
      <c r="O472" s="180"/>
      <c r="P472" s="180"/>
      <c r="Q472" s="180"/>
      <c r="R472" s="180"/>
      <c r="S472" s="180"/>
      <c r="T472" s="180"/>
      <c r="U472" s="180"/>
      <c r="V472" s="180"/>
      <c r="W472" s="180"/>
      <c r="X472" s="180"/>
      <c r="Y472" s="180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</row>
    <row r="473" spans="1:42" s="27" customFormat="1" ht="25.5" outlineLevel="1" x14ac:dyDescent="0.25">
      <c r="A473" s="10" t="s">
        <v>19</v>
      </c>
      <c r="B473" s="21" t="s">
        <v>524</v>
      </c>
      <c r="C473" s="23" t="s">
        <v>60</v>
      </c>
      <c r="D473" s="23">
        <f>D474</f>
        <v>1207</v>
      </c>
      <c r="E473" s="26"/>
      <c r="F473" s="26"/>
      <c r="G473" s="26"/>
      <c r="H473" s="26"/>
      <c r="I473" s="26"/>
      <c r="J473" s="210"/>
      <c r="K473" s="56"/>
      <c r="L473" s="180"/>
      <c r="M473" s="180"/>
      <c r="N473" s="180"/>
      <c r="O473" s="180"/>
      <c r="P473" s="180"/>
      <c r="Q473" s="180"/>
      <c r="R473" s="180"/>
      <c r="S473" s="180"/>
      <c r="T473" s="180"/>
      <c r="U473" s="180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</row>
    <row r="474" spans="1:42" s="27" customFormat="1" outlineLevel="2" x14ac:dyDescent="0.25">
      <c r="A474" s="10"/>
      <c r="B474" s="22" t="s">
        <v>526</v>
      </c>
      <c r="C474" s="25" t="s">
        <v>60</v>
      </c>
      <c r="D474" s="25">
        <v>1207</v>
      </c>
      <c r="E474" s="19"/>
      <c r="F474" s="19"/>
      <c r="G474" s="19"/>
      <c r="H474" s="19"/>
      <c r="I474" s="19"/>
      <c r="J474" s="294" t="s">
        <v>527</v>
      </c>
      <c r="K474" s="56"/>
      <c r="L474" s="180"/>
      <c r="M474" s="180"/>
      <c r="N474" s="180"/>
      <c r="O474" s="180"/>
      <c r="P474" s="180"/>
      <c r="Q474" s="180"/>
      <c r="R474" s="180"/>
      <c r="S474" s="180"/>
      <c r="T474" s="180"/>
      <c r="U474" s="180"/>
      <c r="V474" s="180"/>
      <c r="W474" s="180"/>
      <c r="X474" s="180"/>
      <c r="Y474" s="18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</row>
    <row r="475" spans="1:42" s="27" customFormat="1" outlineLevel="1" x14ac:dyDescent="0.25">
      <c r="A475" s="10" t="s">
        <v>20</v>
      </c>
      <c r="B475" s="21" t="s">
        <v>241</v>
      </c>
      <c r="C475" s="23" t="s">
        <v>89</v>
      </c>
      <c r="D475" s="99">
        <v>2103</v>
      </c>
      <c r="E475" s="26"/>
      <c r="F475" s="26"/>
      <c r="G475" s="26"/>
      <c r="H475" s="26"/>
      <c r="I475" s="26"/>
      <c r="J475" s="210"/>
      <c r="K475" s="56"/>
      <c r="L475" s="180"/>
      <c r="M475" s="180"/>
      <c r="N475" s="180"/>
      <c r="O475" s="180"/>
      <c r="P475" s="180"/>
      <c r="Q475" s="180"/>
      <c r="R475" s="180"/>
      <c r="S475" s="180"/>
      <c r="T475" s="180"/>
      <c r="U475" s="180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</row>
    <row r="476" spans="1:42" s="27" customFormat="1" outlineLevel="2" x14ac:dyDescent="0.25">
      <c r="A476" s="10"/>
      <c r="B476" s="22" t="s">
        <v>529</v>
      </c>
      <c r="C476" s="25" t="s">
        <v>89</v>
      </c>
      <c r="D476" s="25">
        <v>2313.3000000000002</v>
      </c>
      <c r="E476" s="19"/>
      <c r="F476" s="19"/>
      <c r="G476" s="19"/>
      <c r="H476" s="19"/>
      <c r="I476" s="19"/>
      <c r="J476" s="294" t="s">
        <v>530</v>
      </c>
      <c r="K476" s="56"/>
      <c r="L476" s="180"/>
      <c r="M476" s="180"/>
      <c r="N476" s="180"/>
      <c r="O476" s="180"/>
      <c r="P476" s="180"/>
      <c r="Q476" s="180"/>
      <c r="R476" s="180"/>
      <c r="S476" s="180"/>
      <c r="T476" s="180"/>
      <c r="U476" s="180"/>
      <c r="V476" s="180"/>
      <c r="W476" s="180"/>
      <c r="X476" s="180"/>
      <c r="Y476" s="18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</row>
    <row r="477" spans="1:42" s="27" customFormat="1" outlineLevel="1" x14ac:dyDescent="0.25">
      <c r="A477" s="10" t="s">
        <v>308</v>
      </c>
      <c r="B477" s="21" t="s">
        <v>531</v>
      </c>
      <c r="C477" s="23" t="s">
        <v>60</v>
      </c>
      <c r="D477" s="23" t="str">
        <f>D478</f>
        <v>226</v>
      </c>
      <c r="E477" s="26"/>
      <c r="F477" s="26"/>
      <c r="G477" s="26"/>
      <c r="H477" s="26"/>
      <c r="I477" s="26"/>
      <c r="J477" s="210"/>
      <c r="K477" s="56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</row>
    <row r="478" spans="1:42" s="112" customFormat="1" outlineLevel="2" x14ac:dyDescent="0.25">
      <c r="A478" s="15"/>
      <c r="B478" s="22" t="s">
        <v>533</v>
      </c>
      <c r="C478" s="25" t="s">
        <v>60</v>
      </c>
      <c r="D478" s="25" t="s">
        <v>532</v>
      </c>
      <c r="E478" s="19"/>
      <c r="F478" s="19"/>
      <c r="G478" s="19"/>
      <c r="H478" s="19"/>
      <c r="I478" s="19"/>
      <c r="J478" s="294"/>
      <c r="K478" s="51"/>
      <c r="L478" s="252"/>
      <c r="M478" s="252"/>
      <c r="N478" s="252"/>
      <c r="O478" s="252"/>
      <c r="P478" s="252"/>
      <c r="Q478" s="252"/>
      <c r="R478" s="252"/>
      <c r="S478" s="252"/>
      <c r="T478" s="252"/>
      <c r="U478" s="252"/>
      <c r="V478" s="252"/>
      <c r="W478" s="252"/>
      <c r="X478" s="252"/>
      <c r="Y478" s="252"/>
      <c r="Z478" s="252"/>
      <c r="AA478" s="252"/>
      <c r="AB478" s="252"/>
      <c r="AC478" s="252"/>
      <c r="AD478" s="252"/>
      <c r="AE478" s="252"/>
      <c r="AF478" s="252"/>
      <c r="AG478" s="252"/>
      <c r="AH478" s="252"/>
      <c r="AI478" s="252"/>
      <c r="AJ478" s="252"/>
      <c r="AK478" s="252"/>
      <c r="AL478" s="252"/>
      <c r="AM478" s="252"/>
      <c r="AN478" s="252"/>
      <c r="AO478" s="252"/>
      <c r="AP478" s="252"/>
    </row>
    <row r="479" spans="1:42" s="27" customFormat="1" ht="12.75" customHeight="1" outlineLevel="1" x14ac:dyDescent="0.25">
      <c r="A479" s="10" t="s">
        <v>311</v>
      </c>
      <c r="B479" s="21" t="s">
        <v>681</v>
      </c>
      <c r="C479" s="23" t="s">
        <v>60</v>
      </c>
      <c r="D479" s="23">
        <f>D480</f>
        <v>82</v>
      </c>
      <c r="E479" s="19"/>
      <c r="F479" s="19"/>
      <c r="G479" s="19"/>
      <c r="H479" s="19"/>
      <c r="I479" s="19"/>
      <c r="J479" s="210" t="s">
        <v>538</v>
      </c>
      <c r="K479" s="56"/>
      <c r="L479" s="180"/>
      <c r="M479" s="180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0"/>
      <c r="Y479" s="18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</row>
    <row r="480" spans="1:42" s="27" customFormat="1" outlineLevel="2" x14ac:dyDescent="0.25">
      <c r="A480" s="10"/>
      <c r="B480" s="22" t="s">
        <v>540</v>
      </c>
      <c r="C480" s="25" t="s">
        <v>60</v>
      </c>
      <c r="D480" s="25">
        <v>82</v>
      </c>
      <c r="E480" s="26"/>
      <c r="F480" s="26"/>
      <c r="G480" s="26"/>
      <c r="H480" s="26"/>
      <c r="I480" s="26"/>
      <c r="J480" s="210" t="s">
        <v>542</v>
      </c>
      <c r="K480" s="56"/>
      <c r="L480" s="180"/>
      <c r="M480" s="180"/>
      <c r="N480" s="180"/>
      <c r="O480" s="180"/>
      <c r="P480" s="180"/>
      <c r="Q480" s="180"/>
      <c r="R480" s="180"/>
      <c r="S480" s="180"/>
      <c r="T480" s="180"/>
      <c r="U480" s="180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</row>
    <row r="481" spans="1:42" s="180" customFormat="1" ht="25.5" outlineLevel="1" x14ac:dyDescent="0.25">
      <c r="A481" s="245" t="s">
        <v>315</v>
      </c>
      <c r="B481" s="246" t="s">
        <v>546</v>
      </c>
      <c r="C481" s="247" t="s">
        <v>92</v>
      </c>
      <c r="D481" s="247">
        <f>D483</f>
        <v>80</v>
      </c>
      <c r="E481" s="248"/>
      <c r="F481" s="248"/>
      <c r="G481" s="248"/>
      <c r="H481" s="248"/>
      <c r="I481" s="248"/>
      <c r="J481" s="297"/>
      <c r="K481" s="179"/>
    </row>
    <row r="482" spans="1:42" s="252" customFormat="1" outlineLevel="2" x14ac:dyDescent="0.25">
      <c r="A482" s="249"/>
      <c r="B482" s="250" t="s">
        <v>547</v>
      </c>
      <c r="C482" s="178" t="s">
        <v>92</v>
      </c>
      <c r="D482" s="178" t="s">
        <v>541</v>
      </c>
      <c r="E482" s="251"/>
      <c r="F482" s="251"/>
      <c r="G482" s="251"/>
      <c r="H482" s="251"/>
      <c r="I482" s="251"/>
      <c r="J482" s="299" t="s">
        <v>548</v>
      </c>
      <c r="K482" s="193"/>
    </row>
    <row r="483" spans="1:42" s="252" customFormat="1" outlineLevel="2" x14ac:dyDescent="0.25">
      <c r="A483" s="249"/>
      <c r="B483" s="250" t="s">
        <v>549</v>
      </c>
      <c r="C483" s="178" t="s">
        <v>60</v>
      </c>
      <c r="D483" s="178">
        <v>80</v>
      </c>
      <c r="E483" s="251"/>
      <c r="F483" s="251"/>
      <c r="G483" s="251"/>
      <c r="H483" s="251"/>
      <c r="I483" s="251"/>
      <c r="J483" s="299" t="s">
        <v>550</v>
      </c>
      <c r="K483" s="193"/>
    </row>
    <row r="484" spans="1:42" s="27" customFormat="1" outlineLevel="1" collapsed="1" x14ac:dyDescent="0.25">
      <c r="A484" s="10" t="s">
        <v>319</v>
      </c>
      <c r="B484" s="21" t="s">
        <v>558</v>
      </c>
      <c r="C484" s="23" t="s">
        <v>54</v>
      </c>
      <c r="D484" s="23" t="s">
        <v>7</v>
      </c>
      <c r="E484" s="26"/>
      <c r="F484" s="26"/>
      <c r="G484" s="26"/>
      <c r="H484" s="26"/>
      <c r="I484" s="26"/>
      <c r="J484" s="210" t="s">
        <v>559</v>
      </c>
      <c r="K484" s="56"/>
      <c r="L484" s="180"/>
      <c r="M484" s="180"/>
      <c r="N484" s="180"/>
      <c r="O484" s="180"/>
      <c r="P484" s="180"/>
      <c r="Q484" s="180"/>
      <c r="R484" s="180"/>
      <c r="S484" s="180"/>
      <c r="T484" s="180"/>
      <c r="U484" s="180"/>
      <c r="V484" s="180"/>
      <c r="W484" s="180"/>
      <c r="X484" s="180"/>
      <c r="Y484" s="18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</row>
    <row r="485" spans="1:42" s="34" customFormat="1" ht="25.5" x14ac:dyDescent="0.25">
      <c r="A485" s="379" t="s">
        <v>98</v>
      </c>
      <c r="B485" s="376" t="s">
        <v>26</v>
      </c>
      <c r="C485" s="395" t="s">
        <v>0</v>
      </c>
      <c r="D485" s="396">
        <f>D486</f>
        <v>2586</v>
      </c>
      <c r="E485" s="385"/>
      <c r="F485" s="385"/>
      <c r="G485" s="385"/>
      <c r="H485" s="385"/>
      <c r="I485" s="385"/>
      <c r="J485" s="387"/>
      <c r="K485" s="28"/>
      <c r="L485" s="341"/>
      <c r="M485" s="341"/>
      <c r="N485" s="341"/>
      <c r="O485" s="341"/>
      <c r="P485" s="341"/>
      <c r="Q485" s="341"/>
      <c r="R485" s="341"/>
      <c r="S485" s="341"/>
      <c r="T485" s="341"/>
      <c r="U485" s="341"/>
      <c r="V485" s="341"/>
      <c r="W485" s="341"/>
      <c r="X485" s="341"/>
      <c r="Y485" s="341"/>
      <c r="Z485" s="341"/>
      <c r="AA485" s="341"/>
      <c r="AB485" s="341"/>
      <c r="AC485" s="341"/>
      <c r="AD485" s="341"/>
      <c r="AE485" s="341"/>
      <c r="AF485" s="341"/>
      <c r="AG485" s="341"/>
      <c r="AH485" s="341"/>
      <c r="AI485" s="341"/>
      <c r="AJ485" s="341"/>
      <c r="AK485" s="341"/>
      <c r="AL485" s="341"/>
      <c r="AM485" s="341"/>
      <c r="AN485" s="341"/>
      <c r="AO485" s="341"/>
      <c r="AP485" s="341"/>
    </row>
    <row r="486" spans="1:42" s="113" customFormat="1" ht="13.5" outlineLevel="1" x14ac:dyDescent="0.25">
      <c r="A486" s="351"/>
      <c r="B486" s="16" t="s">
        <v>116</v>
      </c>
      <c r="C486" s="17" t="s">
        <v>0</v>
      </c>
      <c r="D486" s="97">
        <v>2586</v>
      </c>
      <c r="E486" s="19"/>
      <c r="F486" s="19"/>
      <c r="G486" s="19"/>
      <c r="H486" s="19"/>
      <c r="I486" s="19"/>
      <c r="J486" s="294" t="s">
        <v>682</v>
      </c>
      <c r="K486" s="241"/>
      <c r="L486" s="359"/>
      <c r="M486" s="359"/>
      <c r="N486" s="359"/>
      <c r="O486" s="359"/>
      <c r="P486" s="359"/>
      <c r="Q486" s="359"/>
      <c r="R486" s="359"/>
      <c r="S486" s="359"/>
      <c r="T486" s="359"/>
      <c r="U486" s="359"/>
      <c r="V486" s="359"/>
      <c r="W486" s="359"/>
      <c r="X486" s="359"/>
      <c r="Y486" s="359"/>
      <c r="Z486" s="359"/>
      <c r="AA486" s="359"/>
      <c r="AB486" s="359"/>
      <c r="AC486" s="359"/>
      <c r="AD486" s="359"/>
      <c r="AE486" s="359"/>
      <c r="AF486" s="359"/>
      <c r="AG486" s="359"/>
      <c r="AH486" s="359"/>
      <c r="AI486" s="359"/>
      <c r="AJ486" s="359"/>
      <c r="AK486" s="359"/>
      <c r="AL486" s="359"/>
      <c r="AM486" s="359"/>
      <c r="AN486" s="359"/>
      <c r="AO486" s="359"/>
      <c r="AP486" s="359"/>
    </row>
    <row r="487" spans="1:42" x14ac:dyDescent="0.25">
      <c r="A487" s="397" t="s">
        <v>46</v>
      </c>
      <c r="B487" s="398" t="s">
        <v>703</v>
      </c>
      <c r="C487" s="401" t="s">
        <v>89</v>
      </c>
      <c r="D487" s="402">
        <f>(2.65*1.75*2)+(1.55*1.85*2)+(1.85*1.55)+(1.85*2.65)</f>
        <v>22.78</v>
      </c>
      <c r="E487" s="399"/>
      <c r="F487" s="399"/>
      <c r="G487" s="399"/>
      <c r="H487" s="399"/>
      <c r="I487" s="399"/>
      <c r="J487" s="400"/>
      <c r="K487" s="14"/>
    </row>
    <row r="490" spans="1:42" x14ac:dyDescent="0.25">
      <c r="B490" s="357"/>
    </row>
  </sheetData>
  <mergeCells count="21">
    <mergeCell ref="K237:K249"/>
    <mergeCell ref="K145:K147"/>
    <mergeCell ref="B251:D251"/>
    <mergeCell ref="K76:K81"/>
    <mergeCell ref="K431:K443"/>
    <mergeCell ref="K309:K311"/>
    <mergeCell ref="K346:K356"/>
    <mergeCell ref="K358:K366"/>
    <mergeCell ref="K262:K273"/>
    <mergeCell ref="K281:K287"/>
    <mergeCell ref="N39:N43"/>
    <mergeCell ref="K142:K144"/>
    <mergeCell ref="K177:K180"/>
    <mergeCell ref="K45:K48"/>
    <mergeCell ref="K65:K70"/>
    <mergeCell ref="K74:K75"/>
    <mergeCell ref="A1:J1"/>
    <mergeCell ref="A2:J2"/>
    <mergeCell ref="A4:J4"/>
    <mergeCell ref="K25:K33"/>
    <mergeCell ref="M39:M43"/>
  </mergeCells>
  <phoneticPr fontId="3" type="noConversion"/>
  <pageMargins left="0.39370078740157483" right="0.19685039370078741" top="0.39370078740157483" bottom="0.19685039370078741" header="0.51181102362204722" footer="0.15748031496062992"/>
  <pageSetup paperSize="8" scale="73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52FE7-BF03-4F89-B488-47E701CF71A1}">
  <dimension ref="C6:E80"/>
  <sheetViews>
    <sheetView workbookViewId="0">
      <selection activeCell="G60" sqref="G60"/>
    </sheetView>
  </sheetViews>
  <sheetFormatPr defaultRowHeight="15" x14ac:dyDescent="0.25"/>
  <cols>
    <col min="3" max="3" width="68.7109375" bestFit="1" customWidth="1"/>
    <col min="4" max="4" width="11.42578125" style="467" customWidth="1"/>
  </cols>
  <sheetData>
    <row r="6" spans="3:4" x14ac:dyDescent="0.25">
      <c r="C6" s="465" t="s">
        <v>1217</v>
      </c>
      <c r="D6" s="466">
        <v>59450</v>
      </c>
    </row>
    <row r="7" spans="3:4" x14ac:dyDescent="0.25">
      <c r="C7" s="465" t="s">
        <v>1218</v>
      </c>
      <c r="D7" s="466">
        <v>59450</v>
      </c>
    </row>
    <row r="8" spans="3:4" x14ac:dyDescent="0.25">
      <c r="C8" s="465" t="s">
        <v>1219</v>
      </c>
      <c r="D8" s="466">
        <v>59450</v>
      </c>
    </row>
    <row r="9" spans="3:4" x14ac:dyDescent="0.25">
      <c r="C9" s="465" t="s">
        <v>1220</v>
      </c>
      <c r="D9" s="467">
        <v>60500</v>
      </c>
    </row>
    <row r="10" spans="3:4" x14ac:dyDescent="0.25">
      <c r="C10" s="465" t="s">
        <v>1221</v>
      </c>
      <c r="D10" s="467">
        <v>60500</v>
      </c>
    </row>
    <row r="11" spans="3:4" x14ac:dyDescent="0.25">
      <c r="C11" s="465" t="s">
        <v>1222</v>
      </c>
      <c r="D11" s="467">
        <v>58950</v>
      </c>
    </row>
    <row r="12" spans="3:4" x14ac:dyDescent="0.25">
      <c r="C12" s="465" t="s">
        <v>1223</v>
      </c>
      <c r="D12" s="467">
        <v>58150</v>
      </c>
    </row>
    <row r="13" spans="3:4" x14ac:dyDescent="0.25">
      <c r="C13" s="465" t="s">
        <v>1224</v>
      </c>
      <c r="D13" s="467">
        <v>58900</v>
      </c>
    </row>
    <row r="14" spans="3:4" x14ac:dyDescent="0.25">
      <c r="C14" s="465" t="s">
        <v>1225</v>
      </c>
      <c r="D14" s="467">
        <v>55350</v>
      </c>
    </row>
    <row r="15" spans="3:4" x14ac:dyDescent="0.25">
      <c r="C15" s="465" t="s">
        <v>1226</v>
      </c>
      <c r="D15" s="467">
        <v>55350</v>
      </c>
    </row>
    <row r="16" spans="3:4" x14ac:dyDescent="0.25">
      <c r="C16" s="465" t="s">
        <v>1227</v>
      </c>
      <c r="D16" s="467">
        <v>55350</v>
      </c>
    </row>
    <row r="17" spans="3:4" x14ac:dyDescent="0.25">
      <c r="C17" s="465" t="s">
        <v>1228</v>
      </c>
      <c r="D17" s="467">
        <v>55350</v>
      </c>
    </row>
    <row r="18" spans="3:4" x14ac:dyDescent="0.25">
      <c r="C18" s="465" t="s">
        <v>1229</v>
      </c>
      <c r="D18" s="467">
        <v>55350</v>
      </c>
    </row>
    <row r="19" spans="3:4" x14ac:dyDescent="0.25">
      <c r="C19" s="465" t="s">
        <v>1230</v>
      </c>
      <c r="D19" s="467">
        <v>55350</v>
      </c>
    </row>
    <row r="20" spans="3:4" x14ac:dyDescent="0.25">
      <c r="C20" s="465" t="s">
        <v>1231</v>
      </c>
      <c r="D20" s="467">
        <v>55350</v>
      </c>
    </row>
    <row r="21" spans="3:4" x14ac:dyDescent="0.25">
      <c r="C21" s="465" t="s">
        <v>1232</v>
      </c>
      <c r="D21" s="467">
        <v>55900</v>
      </c>
    </row>
    <row r="22" spans="3:4" x14ac:dyDescent="0.25">
      <c r="C22" s="465" t="s">
        <v>1233</v>
      </c>
      <c r="D22" s="467">
        <v>56400</v>
      </c>
    </row>
    <row r="23" spans="3:4" x14ac:dyDescent="0.25">
      <c r="C23" s="465" t="s">
        <v>1234</v>
      </c>
      <c r="D23" s="467">
        <v>56400</v>
      </c>
    </row>
    <row r="24" spans="3:4" x14ac:dyDescent="0.25">
      <c r="C24" s="465" t="s">
        <v>1235</v>
      </c>
      <c r="D24" s="467">
        <v>84600</v>
      </c>
    </row>
    <row r="28" spans="3:4" x14ac:dyDescent="0.25">
      <c r="C28" s="465" t="s">
        <v>1236</v>
      </c>
    </row>
    <row r="29" spans="3:4" x14ac:dyDescent="0.25">
      <c r="C29" s="465" t="s">
        <v>1237</v>
      </c>
      <c r="D29" s="467">
        <v>4765</v>
      </c>
    </row>
    <row r="30" spans="3:4" x14ac:dyDescent="0.25">
      <c r="C30" s="465" t="s">
        <v>1238</v>
      </c>
      <c r="D30" s="467">
        <v>6100</v>
      </c>
    </row>
    <row r="31" spans="3:4" x14ac:dyDescent="0.25">
      <c r="C31" s="465" t="s">
        <v>1239</v>
      </c>
      <c r="D31" s="467">
        <v>6220</v>
      </c>
    </row>
    <row r="32" spans="3:4" x14ac:dyDescent="0.25">
      <c r="C32" s="465" t="s">
        <v>1240</v>
      </c>
      <c r="D32" s="467">
        <v>6335</v>
      </c>
    </row>
    <row r="33" spans="3:4" x14ac:dyDescent="0.25">
      <c r="C33" s="465" t="s">
        <v>1241</v>
      </c>
      <c r="D33" s="467">
        <v>6435</v>
      </c>
    </row>
    <row r="34" spans="3:4" x14ac:dyDescent="0.25">
      <c r="C34" s="465" t="s">
        <v>1242</v>
      </c>
      <c r="D34" s="467">
        <v>6570</v>
      </c>
    </row>
    <row r="35" spans="3:4" x14ac:dyDescent="0.25">
      <c r="C35" s="465" t="s">
        <v>1243</v>
      </c>
      <c r="D35" s="467">
        <v>6680</v>
      </c>
    </row>
    <row r="36" spans="3:4" x14ac:dyDescent="0.25">
      <c r="C36" s="465" t="s">
        <v>1244</v>
      </c>
      <c r="D36" s="467">
        <v>7490</v>
      </c>
    </row>
    <row r="37" spans="3:4" x14ac:dyDescent="0.25">
      <c r="C37" s="465" t="s">
        <v>1245</v>
      </c>
      <c r="D37" s="467">
        <v>8590</v>
      </c>
    </row>
    <row r="38" spans="3:4" x14ac:dyDescent="0.25">
      <c r="C38" s="465" t="s">
        <v>1246</v>
      </c>
      <c r="D38" s="467">
        <v>9760</v>
      </c>
    </row>
    <row r="39" spans="3:4" x14ac:dyDescent="0.25">
      <c r="C39" s="465" t="s">
        <v>1247</v>
      </c>
      <c r="D39" s="467">
        <v>7195</v>
      </c>
    </row>
    <row r="40" spans="3:4" x14ac:dyDescent="0.25">
      <c r="C40" s="465" t="s">
        <v>1248</v>
      </c>
      <c r="D40" s="467">
        <v>5740</v>
      </c>
    </row>
    <row r="41" spans="3:4" x14ac:dyDescent="0.25">
      <c r="C41" s="465" t="s">
        <v>1249</v>
      </c>
      <c r="D41" s="467">
        <v>6070</v>
      </c>
    </row>
    <row r="45" spans="3:4" x14ac:dyDescent="0.25">
      <c r="C45" s="465" t="s">
        <v>1250</v>
      </c>
      <c r="D45" s="467">
        <v>800</v>
      </c>
    </row>
    <row r="46" spans="3:4" x14ac:dyDescent="0.25">
      <c r="C46" s="465" t="s">
        <v>1251</v>
      </c>
      <c r="D46" s="467">
        <v>105</v>
      </c>
    </row>
    <row r="47" spans="3:4" x14ac:dyDescent="0.25">
      <c r="C47" s="465" t="s">
        <v>1252</v>
      </c>
      <c r="D47" s="467">
        <v>2400</v>
      </c>
    </row>
    <row r="48" spans="3:4" x14ac:dyDescent="0.25">
      <c r="C48" s="465" t="s">
        <v>1253</v>
      </c>
      <c r="D48" s="467">
        <v>2395</v>
      </c>
    </row>
    <row r="49" spans="3:4" x14ac:dyDescent="0.25">
      <c r="C49" s="465" t="s">
        <v>1254</v>
      </c>
      <c r="D49" s="467">
        <v>470</v>
      </c>
    </row>
    <row r="50" spans="3:4" x14ac:dyDescent="0.25">
      <c r="C50" s="465" t="s">
        <v>1255</v>
      </c>
      <c r="D50" s="467">
        <v>3900</v>
      </c>
    </row>
    <row r="51" spans="3:4" x14ac:dyDescent="0.25">
      <c r="C51" s="465" t="s">
        <v>1256</v>
      </c>
      <c r="D51" s="467">
        <v>6500</v>
      </c>
    </row>
    <row r="52" spans="3:4" x14ac:dyDescent="0.25">
      <c r="C52" s="465" t="s">
        <v>1257</v>
      </c>
      <c r="D52" s="467">
        <v>6150</v>
      </c>
    </row>
    <row r="53" spans="3:4" x14ac:dyDescent="0.25">
      <c r="C53" s="465" t="s">
        <v>1258</v>
      </c>
      <c r="D53" s="467">
        <v>6450</v>
      </c>
    </row>
    <row r="54" spans="3:4" x14ac:dyDescent="0.25">
      <c r="C54" s="465" t="s">
        <v>1259</v>
      </c>
      <c r="D54" s="467">
        <v>6750</v>
      </c>
    </row>
    <row r="55" spans="3:4" x14ac:dyDescent="0.25">
      <c r="C55" s="465" t="s">
        <v>1260</v>
      </c>
      <c r="D55" s="467">
        <v>7400</v>
      </c>
    </row>
    <row r="56" spans="3:4" x14ac:dyDescent="0.25">
      <c r="C56" s="465" t="s">
        <v>1261</v>
      </c>
      <c r="D56" s="467">
        <v>8150</v>
      </c>
    </row>
    <row r="57" spans="3:4" x14ac:dyDescent="0.25">
      <c r="C57" s="465" t="s">
        <v>1262</v>
      </c>
      <c r="D57" s="467">
        <v>8500</v>
      </c>
    </row>
    <row r="58" spans="3:4" x14ac:dyDescent="0.25">
      <c r="C58" s="465" t="s">
        <v>1263</v>
      </c>
      <c r="D58" s="467">
        <v>8650</v>
      </c>
    </row>
    <row r="59" spans="3:4" x14ac:dyDescent="0.25">
      <c r="C59" s="465" t="s">
        <v>1264</v>
      </c>
      <c r="D59" s="467">
        <v>9150</v>
      </c>
    </row>
    <row r="60" spans="3:4" x14ac:dyDescent="0.25">
      <c r="C60" s="465" t="s">
        <v>1265</v>
      </c>
      <c r="D60" s="467">
        <v>10850</v>
      </c>
    </row>
    <row r="61" spans="3:4" x14ac:dyDescent="0.25">
      <c r="C61" s="465" t="s">
        <v>1266</v>
      </c>
      <c r="D61" s="467">
        <v>11150</v>
      </c>
    </row>
    <row r="62" spans="3:4" x14ac:dyDescent="0.25">
      <c r="C62" s="465" t="s">
        <v>1267</v>
      </c>
      <c r="D62" s="467">
        <v>14150</v>
      </c>
    </row>
    <row r="63" spans="3:4" x14ac:dyDescent="0.25">
      <c r="C63" s="465" t="s">
        <v>1268</v>
      </c>
      <c r="D63" s="467">
        <v>130</v>
      </c>
    </row>
    <row r="64" spans="3:4" x14ac:dyDescent="0.25">
      <c r="C64" s="465" t="s">
        <v>1269</v>
      </c>
      <c r="D64" s="467">
        <v>290</v>
      </c>
    </row>
    <row r="65" spans="3:5" x14ac:dyDescent="0.25">
      <c r="C65" s="465" t="s">
        <v>1270</v>
      </c>
      <c r="D65" s="467">
        <v>365</v>
      </c>
    </row>
    <row r="66" spans="3:5" x14ac:dyDescent="0.25">
      <c r="C66" s="465" t="s">
        <v>1271</v>
      </c>
      <c r="D66" s="467">
        <v>540</v>
      </c>
    </row>
    <row r="67" spans="3:5" x14ac:dyDescent="0.25">
      <c r="C67" s="465" t="s">
        <v>1272</v>
      </c>
      <c r="D67" s="467">
        <v>5900</v>
      </c>
    </row>
    <row r="70" spans="3:5" x14ac:dyDescent="0.25">
      <c r="C70" s="468" t="s">
        <v>1273</v>
      </c>
    </row>
    <row r="71" spans="3:5" x14ac:dyDescent="0.25">
      <c r="C71" s="468" t="s">
        <v>1274</v>
      </c>
      <c r="D71" s="467">
        <f>6220+800</f>
        <v>7020</v>
      </c>
    </row>
    <row r="72" spans="3:5" x14ac:dyDescent="0.25">
      <c r="C72" s="468" t="s">
        <v>1275</v>
      </c>
      <c r="D72" s="467">
        <f>6335+880</f>
        <v>7215</v>
      </c>
    </row>
    <row r="73" spans="3:5" x14ac:dyDescent="0.25">
      <c r="C73" s="468" t="s">
        <v>1276</v>
      </c>
      <c r="D73" s="467">
        <f>6435+800</f>
        <v>7235</v>
      </c>
    </row>
    <row r="74" spans="3:5" x14ac:dyDescent="0.25">
      <c r="C74" s="468" t="s">
        <v>1277</v>
      </c>
      <c r="D74" s="467">
        <f>6570+800</f>
        <v>7370</v>
      </c>
    </row>
    <row r="75" spans="3:5" x14ac:dyDescent="0.25">
      <c r="C75" s="468" t="s">
        <v>1278</v>
      </c>
      <c r="D75" s="467">
        <f>6680+800</f>
        <v>7480</v>
      </c>
    </row>
    <row r="76" spans="3:5" x14ac:dyDescent="0.25">
      <c r="C76" s="468" t="s">
        <v>1279</v>
      </c>
      <c r="D76" s="467">
        <v>105</v>
      </c>
      <c r="E76" t="s">
        <v>1283</v>
      </c>
    </row>
    <row r="77" spans="3:5" x14ac:dyDescent="0.25">
      <c r="C77" s="468"/>
    </row>
    <row r="78" spans="3:5" x14ac:dyDescent="0.25">
      <c r="C78" s="468" t="s">
        <v>1280</v>
      </c>
    </row>
    <row r="79" spans="3:5" x14ac:dyDescent="0.25">
      <c r="C79" s="468" t="s">
        <v>1281</v>
      </c>
      <c r="D79" s="467">
        <v>58500</v>
      </c>
    </row>
    <row r="80" spans="3:5" x14ac:dyDescent="0.25">
      <c r="C80" s="468" t="s">
        <v>1282</v>
      </c>
      <c r="D80" s="467">
        <v>55000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3410-734F-450A-8AAF-4F1D9D6B4248}">
  <sheetPr>
    <outlinePr summaryBelow="0"/>
    <pageSetUpPr fitToPage="1"/>
  </sheetPr>
  <dimension ref="A1:AH495"/>
  <sheetViews>
    <sheetView tabSelected="1" zoomScale="85" zoomScaleNormal="85" workbookViewId="0">
      <pane ySplit="21" topLeftCell="A22" activePane="bottomLeft" state="frozen"/>
      <selection pane="bottomLeft" activeCell="N71" sqref="N71"/>
    </sheetView>
  </sheetViews>
  <sheetFormatPr defaultRowHeight="12.75" outlineLevelRow="4" x14ac:dyDescent="0.25"/>
  <cols>
    <col min="1" max="1" width="5.7109375" style="722" customWidth="1"/>
    <col min="2" max="2" width="5.7109375" style="600" customWidth="1"/>
    <col min="3" max="3" width="93.42578125" style="33" customWidth="1"/>
    <col min="4" max="4" width="15.7109375" style="33" customWidth="1"/>
    <col min="5" max="5" width="10.42578125" style="628" customWidth="1"/>
    <col min="6" max="6" width="14.140625" style="44" bestFit="1" customWidth="1"/>
    <col min="7" max="8" width="13.7109375" style="45" customWidth="1"/>
    <col min="9" max="10" width="14.7109375" style="45" customWidth="1"/>
    <col min="11" max="11" width="16.7109375" style="455" bestFit="1" customWidth="1"/>
    <col min="12" max="12" width="42" style="27" customWidth="1"/>
    <col min="13" max="13" width="25.42578125" style="33" customWidth="1"/>
    <col min="14" max="14" width="16.7109375" style="257" customWidth="1"/>
    <col min="15" max="15" width="12.85546875" style="257" bestFit="1" customWidth="1"/>
    <col min="16" max="34" width="9.140625" style="257"/>
    <col min="35" max="16384" width="9.140625" style="33"/>
  </cols>
  <sheetData>
    <row r="1" spans="1:34" ht="20.25" x14ac:dyDescent="0.25">
      <c r="A1" s="719"/>
      <c r="B1" s="759" t="s">
        <v>1216</v>
      </c>
      <c r="C1" s="759"/>
      <c r="D1" s="759"/>
      <c r="E1" s="759"/>
      <c r="F1" s="759"/>
      <c r="G1" s="759"/>
      <c r="H1" s="759"/>
      <c r="I1" s="759"/>
      <c r="J1" s="759"/>
      <c r="K1" s="759"/>
      <c r="L1" s="759"/>
    </row>
    <row r="2" spans="1:34" ht="20.25" x14ac:dyDescent="0.25">
      <c r="A2" s="719"/>
      <c r="B2" s="597"/>
      <c r="C2" s="759" t="s">
        <v>1314</v>
      </c>
      <c r="D2" s="759"/>
      <c r="E2" s="759"/>
      <c r="F2" s="759"/>
      <c r="G2" s="759"/>
      <c r="H2" s="759"/>
      <c r="I2" s="759"/>
      <c r="J2" s="759"/>
      <c r="K2" s="759"/>
      <c r="L2" s="759"/>
    </row>
    <row r="3" spans="1:34" ht="18.75" x14ac:dyDescent="0.25">
      <c r="A3" s="719"/>
      <c r="B3" s="760" t="s">
        <v>1315</v>
      </c>
      <c r="C3" s="760"/>
      <c r="D3" s="760"/>
      <c r="E3" s="760"/>
      <c r="F3" s="760"/>
      <c r="G3" s="760"/>
      <c r="H3" s="760"/>
      <c r="I3" s="760"/>
      <c r="J3" s="760"/>
      <c r="K3" s="760"/>
      <c r="L3" s="760"/>
    </row>
    <row r="4" spans="1:34" ht="13.5" x14ac:dyDescent="0.25">
      <c r="A4" s="720"/>
      <c r="B4" s="113"/>
      <c r="C4" s="34"/>
      <c r="D4" s="34"/>
      <c r="E4" s="626"/>
      <c r="F4" s="35"/>
      <c r="G4" s="36"/>
      <c r="H4" s="36"/>
      <c r="I4" s="36"/>
      <c r="J4" s="36"/>
      <c r="K4" s="454"/>
      <c r="L4" s="34"/>
    </row>
    <row r="5" spans="1:34" ht="15.75" x14ac:dyDescent="0.25">
      <c r="A5" s="719"/>
      <c r="B5" s="761" t="s">
        <v>120</v>
      </c>
      <c r="C5" s="761"/>
      <c r="D5" s="761"/>
      <c r="E5" s="761"/>
      <c r="F5" s="761"/>
      <c r="G5" s="761"/>
      <c r="H5" s="761"/>
      <c r="I5" s="761"/>
      <c r="J5" s="761"/>
      <c r="K5" s="761"/>
      <c r="L5" s="761"/>
    </row>
    <row r="6" spans="1:34" ht="13.5" collapsed="1" x14ac:dyDescent="0.25">
      <c r="A6" s="720"/>
      <c r="B6" s="113"/>
      <c r="C6" s="34"/>
      <c r="D6" s="34"/>
      <c r="E6" s="626"/>
      <c r="F6" s="35"/>
      <c r="G6" s="36"/>
      <c r="H6" s="36"/>
      <c r="I6" s="36"/>
      <c r="J6" s="36"/>
      <c r="K6" s="454"/>
      <c r="L6" s="34"/>
    </row>
    <row r="7" spans="1:34" s="27" customFormat="1" ht="13.5" hidden="1" outlineLevel="1" x14ac:dyDescent="0.25">
      <c r="A7" s="721"/>
      <c r="B7" s="598"/>
      <c r="C7" s="38" t="s">
        <v>560</v>
      </c>
      <c r="D7" s="38"/>
      <c r="E7" s="626"/>
      <c r="F7" s="37"/>
      <c r="G7" s="470"/>
      <c r="H7" s="470"/>
      <c r="I7" s="470"/>
      <c r="J7" s="470"/>
      <c r="K7" s="471"/>
      <c r="L7" s="37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</row>
    <row r="8" spans="1:34" s="27" customFormat="1" hidden="1" outlineLevel="1" x14ac:dyDescent="0.25">
      <c r="A8" s="721"/>
      <c r="B8" s="599"/>
      <c r="C8" s="40" t="s">
        <v>561</v>
      </c>
      <c r="D8" s="40"/>
      <c r="E8" s="627"/>
      <c r="F8" s="40"/>
      <c r="G8" s="472"/>
      <c r="H8" s="473"/>
      <c r="I8" s="473"/>
      <c r="J8" s="474"/>
      <c r="K8" s="475"/>
      <c r="L8" s="39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</row>
    <row r="9" spans="1:34" s="27" customFormat="1" hidden="1" outlineLevel="1" x14ac:dyDescent="0.25">
      <c r="A9" s="721"/>
      <c r="B9" s="599"/>
      <c r="C9" s="40" t="s">
        <v>562</v>
      </c>
      <c r="D9" s="40"/>
      <c r="E9" s="627"/>
      <c r="F9" s="40"/>
      <c r="G9" s="472"/>
      <c r="H9" s="473"/>
      <c r="I9" s="473"/>
      <c r="J9" s="474"/>
      <c r="K9" s="475"/>
      <c r="L9" s="39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</row>
    <row r="10" spans="1:34" s="27" customFormat="1" hidden="1" outlineLevel="1" x14ac:dyDescent="0.25">
      <c r="A10" s="721"/>
      <c r="B10" s="599"/>
      <c r="C10" s="40" t="s">
        <v>563</v>
      </c>
      <c r="D10" s="40"/>
      <c r="E10" s="627"/>
      <c r="F10" s="40"/>
      <c r="G10" s="472"/>
      <c r="H10" s="473"/>
      <c r="I10" s="473"/>
      <c r="J10" s="474"/>
      <c r="K10" s="475"/>
      <c r="L10" s="3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1:34" s="27" customFormat="1" hidden="1" outlineLevel="1" x14ac:dyDescent="0.25">
      <c r="A11" s="721"/>
      <c r="B11" s="599"/>
      <c r="C11" s="40" t="s">
        <v>564</v>
      </c>
      <c r="D11" s="40"/>
      <c r="E11" s="627"/>
      <c r="F11" s="40"/>
      <c r="G11" s="472"/>
      <c r="H11" s="472"/>
      <c r="I11" s="473"/>
      <c r="J11" s="474"/>
      <c r="K11" s="475"/>
      <c r="L11" s="39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1:34" s="27" customFormat="1" hidden="1" outlineLevel="1" x14ac:dyDescent="0.25">
      <c r="A12" s="721"/>
      <c r="B12" s="599"/>
      <c r="C12" s="40" t="s">
        <v>565</v>
      </c>
      <c r="D12" s="40"/>
      <c r="E12" s="627"/>
      <c r="F12" s="40"/>
      <c r="G12" s="472"/>
      <c r="H12" s="472"/>
      <c r="I12" s="473"/>
      <c r="J12" s="474"/>
      <c r="K12" s="475"/>
      <c r="L12" s="39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1:34" s="27" customFormat="1" hidden="1" outlineLevel="1" x14ac:dyDescent="0.25">
      <c r="A13" s="721"/>
      <c r="B13" s="599"/>
      <c r="C13" s="40" t="s">
        <v>566</v>
      </c>
      <c r="D13" s="40"/>
      <c r="E13" s="627"/>
      <c r="F13" s="40"/>
      <c r="G13" s="472"/>
      <c r="H13" s="473"/>
      <c r="I13" s="473"/>
      <c r="J13" s="474"/>
      <c r="K13" s="475"/>
      <c r="L13" s="3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1:34" s="27" customFormat="1" hidden="1" outlineLevel="1" x14ac:dyDescent="0.25">
      <c r="A14" s="721"/>
      <c r="B14" s="599"/>
      <c r="C14" s="40" t="s">
        <v>567</v>
      </c>
      <c r="D14" s="40"/>
      <c r="E14" s="627"/>
      <c r="F14" s="40"/>
      <c r="G14" s="472"/>
      <c r="H14" s="472"/>
      <c r="I14" s="473"/>
      <c r="J14" s="474"/>
      <c r="K14" s="475"/>
      <c r="L14" s="39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</row>
    <row r="15" spans="1:34" s="27" customFormat="1" hidden="1" outlineLevel="1" x14ac:dyDescent="0.25">
      <c r="A15" s="721"/>
      <c r="B15" s="599"/>
      <c r="C15" s="40" t="s">
        <v>568</v>
      </c>
      <c r="D15" s="40"/>
      <c r="E15" s="627"/>
      <c r="F15" s="40"/>
      <c r="G15" s="472"/>
      <c r="H15" s="472"/>
      <c r="I15" s="473"/>
      <c r="J15" s="474"/>
      <c r="K15" s="475"/>
      <c r="L15" s="39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</row>
    <row r="16" spans="1:34" s="27" customFormat="1" hidden="1" outlineLevel="1" x14ac:dyDescent="0.25">
      <c r="A16" s="721"/>
      <c r="B16" s="599"/>
      <c r="C16" s="40" t="s">
        <v>569</v>
      </c>
      <c r="D16" s="40"/>
      <c r="E16" s="627"/>
      <c r="F16" s="40"/>
      <c r="G16" s="472"/>
      <c r="H16" s="472"/>
      <c r="I16" s="473"/>
      <c r="J16" s="474"/>
      <c r="K16" s="475"/>
      <c r="L16" s="39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</row>
    <row r="17" spans="1:34" s="27" customFormat="1" hidden="1" outlineLevel="1" x14ac:dyDescent="0.25">
      <c r="A17" s="721"/>
      <c r="B17" s="599"/>
      <c r="C17" s="40" t="s">
        <v>570</v>
      </c>
      <c r="D17" s="40"/>
      <c r="E17" s="627"/>
      <c r="F17" s="40"/>
      <c r="G17" s="472"/>
      <c r="H17" s="472"/>
      <c r="I17" s="472"/>
      <c r="J17" s="474"/>
      <c r="K17" s="475"/>
      <c r="L17" s="39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</row>
    <row r="18" spans="1:34" s="27" customFormat="1" hidden="1" outlineLevel="1" x14ac:dyDescent="0.25">
      <c r="A18" s="721"/>
      <c r="B18" s="599"/>
      <c r="C18" s="40" t="s">
        <v>571</v>
      </c>
      <c r="D18" s="40"/>
      <c r="E18" s="627"/>
      <c r="F18" s="40"/>
      <c r="G18" s="472"/>
      <c r="H18" s="472"/>
      <c r="I18" s="473"/>
      <c r="J18" s="474"/>
      <c r="K18" s="475"/>
      <c r="L18" s="39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</row>
    <row r="19" spans="1:34" hidden="1" outlineLevel="1" x14ac:dyDescent="0.25">
      <c r="C19" s="33" t="s">
        <v>572</v>
      </c>
    </row>
    <row r="20" spans="1:34" x14ac:dyDescent="0.25">
      <c r="L20" s="577" t="s">
        <v>1292</v>
      </c>
      <c r="M20" s="455">
        <f>K489</f>
        <v>354813957.74000001</v>
      </c>
    </row>
    <row r="21" spans="1:34" s="49" customFormat="1" ht="51" x14ac:dyDescent="0.25">
      <c r="A21" s="726" t="s">
        <v>761</v>
      </c>
      <c r="B21" s="46" t="s">
        <v>1308</v>
      </c>
      <c r="C21" s="28" t="s">
        <v>2</v>
      </c>
      <c r="D21" s="28"/>
      <c r="E21" s="24" t="s">
        <v>3</v>
      </c>
      <c r="F21" s="47" t="s">
        <v>4</v>
      </c>
      <c r="G21" s="48" t="s">
        <v>11</v>
      </c>
      <c r="H21" s="48" t="s">
        <v>12</v>
      </c>
      <c r="I21" s="48" t="s">
        <v>8</v>
      </c>
      <c r="J21" s="48" t="s">
        <v>9</v>
      </c>
      <c r="K21" s="48" t="s">
        <v>10</v>
      </c>
      <c r="L21" s="202" t="s">
        <v>5</v>
      </c>
      <c r="M21" s="67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</row>
    <row r="22" spans="1:34" s="49" customFormat="1" ht="25.5" x14ac:dyDescent="0.25">
      <c r="A22" s="723"/>
      <c r="B22" s="601"/>
      <c r="C22" s="115" t="s">
        <v>1313</v>
      </c>
      <c r="D22" s="115"/>
      <c r="E22" s="629"/>
      <c r="F22" s="117"/>
      <c r="G22" s="118"/>
      <c r="H22" s="118"/>
      <c r="I22" s="118">
        <f>I23+I24+I71+I74+I76+I85</f>
        <v>2613953.41</v>
      </c>
      <c r="J22" s="118">
        <f>J23+J24+J71+J74+J76+J85</f>
        <v>28091261.899999999</v>
      </c>
      <c r="K22" s="457">
        <f>SUM(I22:J22)</f>
        <v>30705215.309999999</v>
      </c>
      <c r="L22" s="203"/>
      <c r="M22" s="67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</row>
    <row r="23" spans="1:34" s="34" customFormat="1" ht="40.5" customHeight="1" x14ac:dyDescent="0.25">
      <c r="A23" s="724" t="s">
        <v>7</v>
      </c>
      <c r="B23" s="602" t="s">
        <v>7</v>
      </c>
      <c r="C23" s="376" t="s">
        <v>674</v>
      </c>
      <c r="D23" s="376"/>
      <c r="E23" s="395" t="s">
        <v>0</v>
      </c>
      <c r="F23" s="427">
        <v>6330</v>
      </c>
      <c r="G23" s="458">
        <v>0</v>
      </c>
      <c r="H23" s="458">
        <v>900</v>
      </c>
      <c r="I23" s="458">
        <v>0</v>
      </c>
      <c r="J23" s="458">
        <f t="shared" ref="J23:J39" si="0">H23*F23</f>
        <v>5697000</v>
      </c>
      <c r="K23" s="458">
        <f>SUM(I23:J23)</f>
        <v>5697000</v>
      </c>
      <c r="L23" s="387"/>
      <c r="M23" s="28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</row>
    <row r="24" spans="1:34" s="34" customFormat="1" ht="38.25" collapsed="1" x14ac:dyDescent="0.25">
      <c r="A24" s="724">
        <f>A23+1</f>
        <v>2</v>
      </c>
      <c r="B24" s="602" t="s">
        <v>6</v>
      </c>
      <c r="C24" s="376" t="s">
        <v>739</v>
      </c>
      <c r="D24" s="376"/>
      <c r="E24" s="395" t="s">
        <v>573</v>
      </c>
      <c r="F24" s="427">
        <v>1</v>
      </c>
      <c r="G24" s="458">
        <f>I24</f>
        <v>1276040.45</v>
      </c>
      <c r="H24" s="458">
        <f>J24</f>
        <v>3992821.5</v>
      </c>
      <c r="I24" s="458">
        <f>I25+I27+I32+I34+I35+I37+I38+I39+I45+I48+I50+I52+I54+I56+I58+I60+I62+I63+I65</f>
        <v>1276040.45</v>
      </c>
      <c r="J24" s="458">
        <f>J25+J27+J32+J34+J35+J37+J38+J39+J45+J48+J50+J52+J54+J56+J58+J60+J62+J63+J65</f>
        <v>3992821.5</v>
      </c>
      <c r="K24" s="458">
        <f>SUM(I24:J24)</f>
        <v>5268861.95</v>
      </c>
      <c r="L24" s="387" t="s">
        <v>620</v>
      </c>
      <c r="M24" s="28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</row>
    <row r="25" spans="1:34" s="341" customFormat="1" ht="25.5" hidden="1" outlineLevel="2" x14ac:dyDescent="0.25">
      <c r="A25" s="724">
        <f t="shared" ref="A25:A88" si="1">A24+1</f>
        <v>3</v>
      </c>
      <c r="B25" s="605" t="s">
        <v>16</v>
      </c>
      <c r="C25" s="335" t="s">
        <v>1206</v>
      </c>
      <c r="D25" s="335"/>
      <c r="E25" s="336" t="s">
        <v>60</v>
      </c>
      <c r="F25" s="336">
        <v>675</v>
      </c>
      <c r="G25" s="586">
        <v>0</v>
      </c>
      <c r="H25" s="584">
        <v>351</v>
      </c>
      <c r="I25" s="584">
        <f>I26</f>
        <v>15000</v>
      </c>
      <c r="J25" s="584">
        <f t="shared" si="0"/>
        <v>236925</v>
      </c>
      <c r="K25" s="584">
        <f>SUM(I25:J25)</f>
        <v>251925</v>
      </c>
      <c r="L25" s="557"/>
      <c r="M25" s="342"/>
    </row>
    <row r="26" spans="1:34" s="197" customFormat="1" hidden="1" outlineLevel="3" x14ac:dyDescent="0.25">
      <c r="A26" s="724">
        <f t="shared" si="1"/>
        <v>4</v>
      </c>
      <c r="B26" s="249"/>
      <c r="C26" s="193" t="s">
        <v>128</v>
      </c>
      <c r="D26" s="193"/>
      <c r="E26" s="177" t="s">
        <v>1215</v>
      </c>
      <c r="F26" s="363" t="s">
        <v>7</v>
      </c>
      <c r="G26" s="444">
        <v>15000</v>
      </c>
      <c r="H26" s="444">
        <v>0</v>
      </c>
      <c r="I26" s="444">
        <f t="shared" ref="I26:I47" si="2">G26*F26</f>
        <v>15000</v>
      </c>
      <c r="J26" s="444">
        <f t="shared" si="0"/>
        <v>0</v>
      </c>
      <c r="K26" s="444">
        <f t="shared" ref="K26:K70" si="3">SUM(I26:J26)</f>
        <v>15000</v>
      </c>
      <c r="L26" s="299" t="s">
        <v>620</v>
      </c>
      <c r="M26" s="762" t="s">
        <v>624</v>
      </c>
    </row>
    <row r="27" spans="1:34" s="699" customFormat="1" ht="25.5" hidden="1" outlineLevel="2" x14ac:dyDescent="0.25">
      <c r="A27" s="724">
        <f t="shared" si="1"/>
        <v>5</v>
      </c>
      <c r="B27" s="605" t="s">
        <v>17</v>
      </c>
      <c r="C27" s="335" t="s">
        <v>129</v>
      </c>
      <c r="D27" s="335"/>
      <c r="E27" s="336" t="s">
        <v>45</v>
      </c>
      <c r="F27" s="336">
        <f>SUM(F28:F31)</f>
        <v>186</v>
      </c>
      <c r="G27" s="586">
        <v>0</v>
      </c>
      <c r="H27" s="584">
        <f>SUM(H28:H31)</f>
        <v>9158</v>
      </c>
      <c r="I27" s="584">
        <f t="shared" si="2"/>
        <v>0</v>
      </c>
      <c r="J27" s="584">
        <f t="shared" si="0"/>
        <v>1703388</v>
      </c>
      <c r="K27" s="584">
        <f t="shared" si="3"/>
        <v>1703388</v>
      </c>
      <c r="L27" s="585" t="s">
        <v>620</v>
      </c>
      <c r="M27" s="874"/>
    </row>
    <row r="28" spans="1:34" s="252" customFormat="1" ht="25.5" hidden="1" outlineLevel="3" x14ac:dyDescent="0.25">
      <c r="A28" s="724">
        <f t="shared" si="1"/>
        <v>6</v>
      </c>
      <c r="B28" s="249"/>
      <c r="C28" s="565" t="s">
        <v>129</v>
      </c>
      <c r="D28" s="565"/>
      <c r="E28" s="177" t="s">
        <v>45</v>
      </c>
      <c r="F28" s="177">
        <v>18</v>
      </c>
      <c r="G28" s="444"/>
      <c r="H28" s="444">
        <v>1712</v>
      </c>
      <c r="I28" s="444"/>
      <c r="J28" s="444">
        <f t="shared" si="0"/>
        <v>30816</v>
      </c>
      <c r="K28" s="444">
        <f t="shared" si="3"/>
        <v>30816</v>
      </c>
      <c r="L28" s="299" t="s">
        <v>620</v>
      </c>
      <c r="M28" s="763"/>
    </row>
    <row r="29" spans="1:34" s="252" customFormat="1" ht="25.5" hidden="1" outlineLevel="3" x14ac:dyDescent="0.25">
      <c r="A29" s="724">
        <f t="shared" si="1"/>
        <v>7</v>
      </c>
      <c r="B29" s="249"/>
      <c r="C29" s="565" t="s">
        <v>130</v>
      </c>
      <c r="D29" s="565"/>
      <c r="E29" s="177" t="s">
        <v>45</v>
      </c>
      <c r="F29" s="177">
        <v>55</v>
      </c>
      <c r="G29" s="444"/>
      <c r="H29" s="444">
        <v>1963</v>
      </c>
      <c r="I29" s="444"/>
      <c r="J29" s="444">
        <f t="shared" si="0"/>
        <v>107965</v>
      </c>
      <c r="K29" s="444">
        <f t="shared" si="3"/>
        <v>107965</v>
      </c>
      <c r="L29" s="299" t="s">
        <v>620</v>
      </c>
      <c r="M29" s="763"/>
    </row>
    <row r="30" spans="1:34" s="252" customFormat="1" ht="25.5" hidden="1" outlineLevel="3" x14ac:dyDescent="0.25">
      <c r="A30" s="724">
        <f t="shared" si="1"/>
        <v>8</v>
      </c>
      <c r="B30" s="249"/>
      <c r="C30" s="565" t="s">
        <v>131</v>
      </c>
      <c r="D30" s="565"/>
      <c r="E30" s="177" t="s">
        <v>45</v>
      </c>
      <c r="F30" s="177">
        <v>75</v>
      </c>
      <c r="G30" s="444"/>
      <c r="H30" s="444">
        <v>2449</v>
      </c>
      <c r="I30" s="444"/>
      <c r="J30" s="444">
        <f t="shared" si="0"/>
        <v>183675</v>
      </c>
      <c r="K30" s="444">
        <f t="shared" si="3"/>
        <v>183675</v>
      </c>
      <c r="L30" s="299" t="s">
        <v>620</v>
      </c>
      <c r="M30" s="763"/>
    </row>
    <row r="31" spans="1:34" s="252" customFormat="1" ht="25.5" hidden="1" outlineLevel="3" x14ac:dyDescent="0.25">
      <c r="A31" s="724">
        <f t="shared" si="1"/>
        <v>9</v>
      </c>
      <c r="B31" s="249"/>
      <c r="C31" s="565" t="s">
        <v>132</v>
      </c>
      <c r="D31" s="565"/>
      <c r="E31" s="177" t="s">
        <v>45</v>
      </c>
      <c r="F31" s="177">
        <v>38</v>
      </c>
      <c r="G31" s="444"/>
      <c r="H31" s="444">
        <v>3034</v>
      </c>
      <c r="I31" s="444"/>
      <c r="J31" s="444">
        <f t="shared" si="0"/>
        <v>115292</v>
      </c>
      <c r="K31" s="444">
        <f t="shared" si="3"/>
        <v>115292</v>
      </c>
      <c r="L31" s="299" t="s">
        <v>620</v>
      </c>
      <c r="M31" s="763"/>
    </row>
    <row r="32" spans="1:34" s="63" customFormat="1" ht="13.5" hidden="1" outlineLevel="2" x14ac:dyDescent="0.25">
      <c r="A32" s="724">
        <f t="shared" si="1"/>
        <v>10</v>
      </c>
      <c r="B32" s="731" t="s">
        <v>18</v>
      </c>
      <c r="C32" s="327" t="s">
        <v>133</v>
      </c>
      <c r="D32" s="327"/>
      <c r="E32" s="24" t="s">
        <v>0</v>
      </c>
      <c r="F32" s="24" t="s">
        <v>134</v>
      </c>
      <c r="G32" s="732">
        <v>0</v>
      </c>
      <c r="H32" s="708">
        <v>4473</v>
      </c>
      <c r="I32" s="708">
        <f>I33</f>
        <v>15435</v>
      </c>
      <c r="J32" s="708">
        <f>H32*F32</f>
        <v>153423.9</v>
      </c>
      <c r="K32" s="708">
        <f>SUM(I32:J32)</f>
        <v>168858.9</v>
      </c>
      <c r="L32" s="733"/>
      <c r="M32" s="874"/>
    </row>
    <row r="33" spans="1:13" s="55" customFormat="1" ht="25.5" hidden="1" outlineLevel="3" x14ac:dyDescent="0.25">
      <c r="A33" s="724">
        <f t="shared" si="1"/>
        <v>11</v>
      </c>
      <c r="B33" s="15"/>
      <c r="C33" s="51" t="s">
        <v>135</v>
      </c>
      <c r="D33" s="51"/>
      <c r="E33" s="315" t="s">
        <v>0</v>
      </c>
      <c r="F33" s="622" t="str">
        <f>F32</f>
        <v>34,3</v>
      </c>
      <c r="G33" s="734">
        <v>450</v>
      </c>
      <c r="H33" s="734">
        <v>0</v>
      </c>
      <c r="I33" s="734">
        <f>G33*F33</f>
        <v>15435</v>
      </c>
      <c r="J33" s="734">
        <f t="shared" si="0"/>
        <v>0</v>
      </c>
      <c r="K33" s="734">
        <f t="shared" si="3"/>
        <v>15435</v>
      </c>
      <c r="L33" s="294"/>
      <c r="M33" s="763"/>
    </row>
    <row r="34" spans="1:13" s="425" customFormat="1" ht="13.5" hidden="1" outlineLevel="2" x14ac:dyDescent="0.25">
      <c r="A34" s="724">
        <f t="shared" si="1"/>
        <v>12</v>
      </c>
      <c r="B34" s="605" t="s">
        <v>19</v>
      </c>
      <c r="C34" s="337" t="s">
        <v>138</v>
      </c>
      <c r="D34" s="337"/>
      <c r="E34" s="552" t="s">
        <v>60</v>
      </c>
      <c r="F34" s="544" t="s">
        <v>139</v>
      </c>
      <c r="G34" s="586">
        <v>0</v>
      </c>
      <c r="H34" s="584">
        <v>941</v>
      </c>
      <c r="I34" s="584">
        <f t="shared" si="2"/>
        <v>0</v>
      </c>
      <c r="J34" s="584">
        <f t="shared" si="0"/>
        <v>248424</v>
      </c>
      <c r="K34" s="584">
        <f t="shared" si="3"/>
        <v>248424</v>
      </c>
      <c r="L34" s="585" t="s">
        <v>620</v>
      </c>
      <c r="M34" s="874"/>
    </row>
    <row r="35" spans="1:13" s="426" customFormat="1" ht="38.25" hidden="1" outlineLevel="2" x14ac:dyDescent="0.25">
      <c r="A35" s="724">
        <f t="shared" si="1"/>
        <v>13</v>
      </c>
      <c r="B35" s="731" t="s">
        <v>20</v>
      </c>
      <c r="C35" s="65" t="s">
        <v>658</v>
      </c>
      <c r="D35" s="65"/>
      <c r="E35" s="100" t="s">
        <v>276</v>
      </c>
      <c r="F35" s="108">
        <v>4</v>
      </c>
      <c r="G35" s="735">
        <v>0</v>
      </c>
      <c r="H35" s="736">
        <v>49521</v>
      </c>
      <c r="I35" s="708">
        <f>I36</f>
        <v>34000</v>
      </c>
      <c r="J35" s="708">
        <f>H35*F35</f>
        <v>198084</v>
      </c>
      <c r="K35" s="708">
        <f>SUM(I35:J35)</f>
        <v>232084</v>
      </c>
      <c r="L35" s="350" t="s">
        <v>657</v>
      </c>
      <c r="M35" s="737"/>
    </row>
    <row r="36" spans="1:13" s="55" customFormat="1" ht="38.25" hidden="1" outlineLevel="4" x14ac:dyDescent="0.25">
      <c r="A36" s="724">
        <f t="shared" si="1"/>
        <v>14</v>
      </c>
      <c r="B36" s="15"/>
      <c r="C36" s="51" t="s">
        <v>162</v>
      </c>
      <c r="D36" s="51"/>
      <c r="E36" s="315" t="s">
        <v>54</v>
      </c>
      <c r="F36" s="622" t="s">
        <v>46</v>
      </c>
      <c r="G36" s="738">
        <v>8500</v>
      </c>
      <c r="H36" s="734">
        <v>0</v>
      </c>
      <c r="I36" s="734">
        <f t="shared" si="2"/>
        <v>34000</v>
      </c>
      <c r="J36" s="734">
        <f t="shared" si="0"/>
        <v>0</v>
      </c>
      <c r="K36" s="734">
        <f t="shared" si="3"/>
        <v>34000</v>
      </c>
      <c r="L36" s="294" t="s">
        <v>657</v>
      </c>
      <c r="M36" s="739"/>
    </row>
    <row r="37" spans="1:13" s="425" customFormat="1" ht="38.25" hidden="1" outlineLevel="3" x14ac:dyDescent="0.25">
      <c r="A37" s="724">
        <f t="shared" si="1"/>
        <v>15</v>
      </c>
      <c r="B37" s="605" t="s">
        <v>308</v>
      </c>
      <c r="C37" s="337" t="s">
        <v>164</v>
      </c>
      <c r="D37" s="337"/>
      <c r="E37" s="552" t="s">
        <v>54</v>
      </c>
      <c r="F37" s="544" t="s">
        <v>7</v>
      </c>
      <c r="G37" s="586">
        <v>0</v>
      </c>
      <c r="H37" s="584">
        <v>39617</v>
      </c>
      <c r="I37" s="584">
        <f t="shared" si="2"/>
        <v>0</v>
      </c>
      <c r="J37" s="584">
        <f t="shared" si="0"/>
        <v>39617</v>
      </c>
      <c r="K37" s="584">
        <f t="shared" si="3"/>
        <v>39617</v>
      </c>
      <c r="L37" s="349" t="s">
        <v>657</v>
      </c>
      <c r="M37" s="729"/>
    </row>
    <row r="38" spans="1:13" s="425" customFormat="1" ht="38.25" hidden="1" outlineLevel="3" x14ac:dyDescent="0.25">
      <c r="A38" s="724">
        <f t="shared" si="1"/>
        <v>16</v>
      </c>
      <c r="B38" s="605" t="s">
        <v>311</v>
      </c>
      <c r="C38" s="337" t="s">
        <v>166</v>
      </c>
      <c r="D38" s="337"/>
      <c r="E38" s="552" t="s">
        <v>1284</v>
      </c>
      <c r="F38" s="544" t="s">
        <v>7</v>
      </c>
      <c r="G38" s="584">
        <v>451</v>
      </c>
      <c r="H38" s="584">
        <v>0</v>
      </c>
      <c r="I38" s="584">
        <f t="shared" si="2"/>
        <v>451</v>
      </c>
      <c r="J38" s="584">
        <f t="shared" si="0"/>
        <v>0</v>
      </c>
      <c r="K38" s="584">
        <f t="shared" si="3"/>
        <v>451</v>
      </c>
      <c r="L38" s="349" t="s">
        <v>657</v>
      </c>
      <c r="M38" s="730"/>
    </row>
    <row r="39" spans="1:13" s="425" customFormat="1" ht="25.5" hidden="1" outlineLevel="3" x14ac:dyDescent="0.25">
      <c r="A39" s="724">
        <f t="shared" si="1"/>
        <v>17</v>
      </c>
      <c r="B39" s="605" t="s">
        <v>315</v>
      </c>
      <c r="C39" s="337" t="s">
        <v>742</v>
      </c>
      <c r="D39" s="337"/>
      <c r="E39" s="552" t="s">
        <v>92</v>
      </c>
      <c r="F39" s="544">
        <f>SUM(F40:F44)</f>
        <v>1811.4</v>
      </c>
      <c r="G39" s="584">
        <v>0</v>
      </c>
      <c r="H39" s="584">
        <v>59</v>
      </c>
      <c r="I39" s="584">
        <f>SUM(I40:I44)</f>
        <v>127280.22</v>
      </c>
      <c r="J39" s="584">
        <f t="shared" si="0"/>
        <v>106872.6</v>
      </c>
      <c r="K39" s="584">
        <f t="shared" si="3"/>
        <v>234152.82</v>
      </c>
      <c r="L39" s="728"/>
      <c r="M39" s="729"/>
    </row>
    <row r="40" spans="1:13" s="197" customFormat="1" ht="38.25" hidden="1" outlineLevel="4" x14ac:dyDescent="0.25">
      <c r="A40" s="724">
        <f t="shared" si="1"/>
        <v>18</v>
      </c>
      <c r="B40" s="249"/>
      <c r="C40" s="193" t="s">
        <v>741</v>
      </c>
      <c r="D40" s="193"/>
      <c r="E40" s="177" t="s">
        <v>92</v>
      </c>
      <c r="F40" s="363">
        <f>163.02*4</f>
        <v>652.08000000000004</v>
      </c>
      <c r="G40" s="444">
        <v>70.989999999999995</v>
      </c>
      <c r="H40" s="444">
        <v>0</v>
      </c>
      <c r="I40" s="444">
        <f t="shared" si="2"/>
        <v>46291.16</v>
      </c>
      <c r="J40" s="444">
        <v>0</v>
      </c>
      <c r="K40" s="444">
        <f t="shared" si="3"/>
        <v>46291.16</v>
      </c>
      <c r="L40" s="299" t="s">
        <v>657</v>
      </c>
      <c r="M40" s="436"/>
    </row>
    <row r="41" spans="1:13" s="197" customFormat="1" hidden="1" outlineLevel="4" x14ac:dyDescent="0.25">
      <c r="A41" s="724">
        <f t="shared" si="1"/>
        <v>19</v>
      </c>
      <c r="B41" s="249"/>
      <c r="C41" s="193" t="s">
        <v>154</v>
      </c>
      <c r="D41" s="193"/>
      <c r="E41" s="177" t="s">
        <v>92</v>
      </c>
      <c r="F41" s="363">
        <f>(84.53+34.3+73.5+48.02)*4</f>
        <v>961.4</v>
      </c>
      <c r="G41" s="444">
        <v>72.5</v>
      </c>
      <c r="H41" s="444">
        <v>0</v>
      </c>
      <c r="I41" s="444">
        <f t="shared" si="2"/>
        <v>69701.5</v>
      </c>
      <c r="J41" s="444">
        <v>0</v>
      </c>
      <c r="K41" s="444">
        <f t="shared" si="3"/>
        <v>69701.5</v>
      </c>
      <c r="L41" s="299"/>
      <c r="M41" s="436"/>
    </row>
    <row r="42" spans="1:13" s="197" customFormat="1" hidden="1" outlineLevel="4" x14ac:dyDescent="0.25">
      <c r="A42" s="724">
        <f t="shared" si="1"/>
        <v>20</v>
      </c>
      <c r="B42" s="249"/>
      <c r="C42" s="193" t="s">
        <v>1312</v>
      </c>
      <c r="D42" s="193"/>
      <c r="E42" s="177" t="s">
        <v>92</v>
      </c>
      <c r="F42" s="363">
        <v>111.68</v>
      </c>
      <c r="G42" s="444">
        <v>55.35</v>
      </c>
      <c r="H42" s="444">
        <v>0</v>
      </c>
      <c r="I42" s="444">
        <f t="shared" si="2"/>
        <v>6181.49</v>
      </c>
      <c r="J42" s="444">
        <v>0</v>
      </c>
      <c r="K42" s="444">
        <f t="shared" si="3"/>
        <v>6181.49</v>
      </c>
      <c r="L42" s="299"/>
      <c r="M42" s="436"/>
    </row>
    <row r="43" spans="1:13" s="197" customFormat="1" hidden="1" outlineLevel="4" x14ac:dyDescent="0.25">
      <c r="A43" s="724">
        <f t="shared" si="1"/>
        <v>21</v>
      </c>
      <c r="B43" s="249"/>
      <c r="C43" s="193" t="s">
        <v>158</v>
      </c>
      <c r="D43" s="193"/>
      <c r="E43" s="177" t="s">
        <v>92</v>
      </c>
      <c r="F43" s="363">
        <f>6.74*4</f>
        <v>26.96</v>
      </c>
      <c r="G43" s="444">
        <v>67.69</v>
      </c>
      <c r="H43" s="444">
        <v>0</v>
      </c>
      <c r="I43" s="444">
        <f t="shared" si="2"/>
        <v>1824.92</v>
      </c>
      <c r="J43" s="444">
        <v>0</v>
      </c>
      <c r="K43" s="444">
        <f t="shared" si="3"/>
        <v>1824.92</v>
      </c>
      <c r="L43" s="299"/>
      <c r="M43" s="436"/>
    </row>
    <row r="44" spans="1:13" s="197" customFormat="1" hidden="1" outlineLevel="4" x14ac:dyDescent="0.25">
      <c r="A44" s="724">
        <f t="shared" si="1"/>
        <v>22</v>
      </c>
      <c r="B44" s="249"/>
      <c r="C44" s="193" t="s">
        <v>159</v>
      </c>
      <c r="D44" s="193"/>
      <c r="E44" s="177" t="s">
        <v>92</v>
      </c>
      <c r="F44" s="363">
        <f>14.82*4</f>
        <v>59.28</v>
      </c>
      <c r="G44" s="444">
        <v>55.35</v>
      </c>
      <c r="H44" s="444">
        <v>0</v>
      </c>
      <c r="I44" s="444">
        <f t="shared" si="2"/>
        <v>3281.15</v>
      </c>
      <c r="J44" s="444">
        <v>0</v>
      </c>
      <c r="K44" s="444">
        <f t="shared" si="3"/>
        <v>3281.15</v>
      </c>
      <c r="L44" s="299"/>
      <c r="M44" s="436"/>
    </row>
    <row r="45" spans="1:13" s="425" customFormat="1" ht="25.5" hidden="1" outlineLevel="2" x14ac:dyDescent="0.25">
      <c r="A45" s="724">
        <f t="shared" si="1"/>
        <v>23</v>
      </c>
      <c r="B45" s="605" t="s">
        <v>319</v>
      </c>
      <c r="C45" s="337" t="s">
        <v>659</v>
      </c>
      <c r="D45" s="337"/>
      <c r="E45" s="336" t="s">
        <v>45</v>
      </c>
      <c r="F45" s="544">
        <v>88</v>
      </c>
      <c r="G45" s="584">
        <v>785</v>
      </c>
      <c r="H45" s="584">
        <v>314</v>
      </c>
      <c r="I45" s="584">
        <f>SUM(I46:I47)</f>
        <v>69080</v>
      </c>
      <c r="J45" s="584">
        <f>H45*F45</f>
        <v>27632</v>
      </c>
      <c r="K45" s="584">
        <f t="shared" si="3"/>
        <v>96712</v>
      </c>
      <c r="L45" s="349" t="s">
        <v>621</v>
      </c>
      <c r="M45" s="576"/>
    </row>
    <row r="46" spans="1:13" s="197" customFormat="1" hidden="1" outlineLevel="3" x14ac:dyDescent="0.25">
      <c r="A46" s="724">
        <f t="shared" si="1"/>
        <v>24</v>
      </c>
      <c r="B46" s="249"/>
      <c r="C46" s="193" t="s">
        <v>175</v>
      </c>
      <c r="D46" s="193"/>
      <c r="E46" s="177" t="s">
        <v>45</v>
      </c>
      <c r="F46" s="363" t="s">
        <v>174</v>
      </c>
      <c r="G46" s="444">
        <v>785</v>
      </c>
      <c r="H46" s="444">
        <v>0</v>
      </c>
      <c r="I46" s="444">
        <f t="shared" si="2"/>
        <v>15700</v>
      </c>
      <c r="J46" s="444">
        <v>0</v>
      </c>
      <c r="K46" s="444">
        <f t="shared" si="3"/>
        <v>15700</v>
      </c>
      <c r="L46" s="299"/>
      <c r="M46" s="763"/>
    </row>
    <row r="47" spans="1:13" s="197" customFormat="1" hidden="1" outlineLevel="3" x14ac:dyDescent="0.25">
      <c r="A47" s="724">
        <f t="shared" si="1"/>
        <v>25</v>
      </c>
      <c r="B47" s="249"/>
      <c r="C47" s="193" t="s">
        <v>179</v>
      </c>
      <c r="D47" s="193"/>
      <c r="E47" s="177" t="s">
        <v>45</v>
      </c>
      <c r="F47" s="363" t="s">
        <v>178</v>
      </c>
      <c r="G47" s="444">
        <v>785</v>
      </c>
      <c r="H47" s="444">
        <v>0</v>
      </c>
      <c r="I47" s="444">
        <f t="shared" si="2"/>
        <v>53380</v>
      </c>
      <c r="J47" s="444">
        <v>0</v>
      </c>
      <c r="K47" s="444">
        <f t="shared" si="3"/>
        <v>53380</v>
      </c>
      <c r="L47" s="299"/>
      <c r="M47" s="763"/>
    </row>
    <row r="48" spans="1:13" s="425" customFormat="1" ht="13.5" hidden="1" outlineLevel="2" x14ac:dyDescent="0.25">
      <c r="A48" s="724">
        <f t="shared" si="1"/>
        <v>26</v>
      </c>
      <c r="B48" s="605" t="s">
        <v>322</v>
      </c>
      <c r="C48" s="337" t="s">
        <v>181</v>
      </c>
      <c r="D48" s="337"/>
      <c r="E48" s="336" t="s">
        <v>45</v>
      </c>
      <c r="F48" s="544" t="s">
        <v>46</v>
      </c>
      <c r="G48" s="701">
        <v>0</v>
      </c>
      <c r="H48" s="584">
        <v>49520</v>
      </c>
      <c r="I48" s="584">
        <f>G49*F48</f>
        <v>495200</v>
      </c>
      <c r="J48" s="584">
        <f t="shared" ref="J48:J65" si="4">H48*F48</f>
        <v>198080</v>
      </c>
      <c r="K48" s="584">
        <f t="shared" si="3"/>
        <v>693280</v>
      </c>
      <c r="L48" s="349" t="s">
        <v>620</v>
      </c>
      <c r="M48" s="874"/>
    </row>
    <row r="49" spans="1:13" s="197" customFormat="1" hidden="1" outlineLevel="3" x14ac:dyDescent="0.25">
      <c r="A49" s="724">
        <f t="shared" si="1"/>
        <v>27</v>
      </c>
      <c r="B49" s="249"/>
      <c r="C49" s="193" t="s">
        <v>182</v>
      </c>
      <c r="D49" s="193"/>
      <c r="E49" s="177" t="s">
        <v>45</v>
      </c>
      <c r="F49" s="363" t="s">
        <v>46</v>
      </c>
      <c r="G49" s="444">
        <v>123800</v>
      </c>
      <c r="H49" s="444">
        <v>0</v>
      </c>
      <c r="I49" s="444">
        <f>G49*F49</f>
        <v>495200</v>
      </c>
      <c r="J49" s="444">
        <f t="shared" si="4"/>
        <v>0</v>
      </c>
      <c r="K49" s="444">
        <f t="shared" si="3"/>
        <v>495200</v>
      </c>
      <c r="L49" s="299" t="s">
        <v>620</v>
      </c>
      <c r="M49" s="764"/>
    </row>
    <row r="50" spans="1:13" s="425" customFormat="1" ht="13.5" hidden="1" outlineLevel="1" x14ac:dyDescent="0.25">
      <c r="A50" s="724">
        <f t="shared" si="1"/>
        <v>28</v>
      </c>
      <c r="B50" s="605" t="s">
        <v>325</v>
      </c>
      <c r="C50" s="337" t="s">
        <v>748</v>
      </c>
      <c r="D50" s="337"/>
      <c r="E50" s="552" t="s">
        <v>60</v>
      </c>
      <c r="F50" s="544" t="s">
        <v>141</v>
      </c>
      <c r="G50" s="586">
        <v>0</v>
      </c>
      <c r="H50" s="584">
        <v>824</v>
      </c>
      <c r="I50" s="584">
        <f>I51</f>
        <v>115611.1</v>
      </c>
      <c r="J50" s="584">
        <f t="shared" si="4"/>
        <v>223304</v>
      </c>
      <c r="K50" s="584">
        <f t="shared" si="3"/>
        <v>338915.1</v>
      </c>
      <c r="L50" s="349"/>
      <c r="M50" s="702"/>
    </row>
    <row r="51" spans="1:13" s="197" customFormat="1" ht="25.5" hidden="1" outlineLevel="2" x14ac:dyDescent="0.25">
      <c r="A51" s="724">
        <f t="shared" si="1"/>
        <v>29</v>
      </c>
      <c r="B51" s="249"/>
      <c r="C51" s="193" t="s">
        <v>1208</v>
      </c>
      <c r="D51" s="193"/>
      <c r="E51" s="551" t="s">
        <v>295</v>
      </c>
      <c r="F51" s="363">
        <v>2.27</v>
      </c>
      <c r="G51" s="444">
        <v>50930</v>
      </c>
      <c r="H51" s="444">
        <v>0</v>
      </c>
      <c r="I51" s="444">
        <f t="shared" ref="I51:I70" si="5">G51*F51</f>
        <v>115611.1</v>
      </c>
      <c r="J51" s="444">
        <f t="shared" si="4"/>
        <v>0</v>
      </c>
      <c r="K51" s="444">
        <f t="shared" si="3"/>
        <v>115611.1</v>
      </c>
      <c r="L51" s="299"/>
      <c r="M51" s="367"/>
    </row>
    <row r="52" spans="1:13" s="425" customFormat="1" ht="13.5" hidden="1" outlineLevel="2" x14ac:dyDescent="0.25">
      <c r="A52" s="724">
        <f t="shared" si="1"/>
        <v>30</v>
      </c>
      <c r="B52" s="605" t="s">
        <v>328</v>
      </c>
      <c r="C52" s="337" t="s">
        <v>752</v>
      </c>
      <c r="D52" s="337"/>
      <c r="E52" s="552" t="s">
        <v>60</v>
      </c>
      <c r="F52" s="544" t="s">
        <v>146</v>
      </c>
      <c r="G52" s="586">
        <v>0</v>
      </c>
      <c r="H52" s="584">
        <v>896</v>
      </c>
      <c r="I52" s="584">
        <f>I53</f>
        <v>19702.32</v>
      </c>
      <c r="J52" s="584">
        <f t="shared" si="4"/>
        <v>28672</v>
      </c>
      <c r="K52" s="584">
        <f t="shared" si="3"/>
        <v>48374.32</v>
      </c>
      <c r="L52" s="349"/>
      <c r="M52" s="702"/>
    </row>
    <row r="53" spans="1:13" s="197" customFormat="1" ht="25.5" hidden="1" outlineLevel="3" x14ac:dyDescent="0.25">
      <c r="A53" s="724">
        <f t="shared" si="1"/>
        <v>31</v>
      </c>
      <c r="B53" s="249"/>
      <c r="C53" s="193" t="s">
        <v>1210</v>
      </c>
      <c r="D53" s="193"/>
      <c r="E53" s="551" t="s">
        <v>295</v>
      </c>
      <c r="F53" s="363">
        <v>0.33</v>
      </c>
      <c r="G53" s="444">
        <v>59704</v>
      </c>
      <c r="H53" s="444">
        <v>0</v>
      </c>
      <c r="I53" s="444">
        <f t="shared" si="5"/>
        <v>19702.32</v>
      </c>
      <c r="J53" s="444">
        <f t="shared" si="4"/>
        <v>0</v>
      </c>
      <c r="K53" s="444">
        <f t="shared" si="3"/>
        <v>19702.32</v>
      </c>
      <c r="L53" s="299" t="s">
        <v>143</v>
      </c>
      <c r="M53" s="367"/>
    </row>
    <row r="54" spans="1:13" s="425" customFormat="1" ht="13.5" hidden="1" outlineLevel="2" x14ac:dyDescent="0.25">
      <c r="A54" s="724">
        <f t="shared" si="1"/>
        <v>32</v>
      </c>
      <c r="B54" s="605" t="s">
        <v>363</v>
      </c>
      <c r="C54" s="337" t="s">
        <v>749</v>
      </c>
      <c r="D54" s="337"/>
      <c r="E54" s="336" t="s">
        <v>45</v>
      </c>
      <c r="F54" s="544" t="s">
        <v>6</v>
      </c>
      <c r="G54" s="584">
        <v>0</v>
      </c>
      <c r="H54" s="584">
        <v>3400</v>
      </c>
      <c r="I54" s="584">
        <f>I55</f>
        <v>16640</v>
      </c>
      <c r="J54" s="584">
        <f t="shared" si="4"/>
        <v>6800</v>
      </c>
      <c r="K54" s="584">
        <f t="shared" si="3"/>
        <v>23440</v>
      </c>
      <c r="L54" s="349"/>
      <c r="M54" s="702"/>
    </row>
    <row r="55" spans="1:13" s="197" customFormat="1" ht="25.5" hidden="1" outlineLevel="3" x14ac:dyDescent="0.25">
      <c r="A55" s="724">
        <f t="shared" si="1"/>
        <v>33</v>
      </c>
      <c r="B55" s="249"/>
      <c r="C55" s="193" t="s">
        <v>169</v>
      </c>
      <c r="D55" s="193"/>
      <c r="E55" s="177" t="s">
        <v>45</v>
      </c>
      <c r="F55" s="363" t="s">
        <v>6</v>
      </c>
      <c r="G55" s="444">
        <v>8320</v>
      </c>
      <c r="H55" s="444">
        <v>0</v>
      </c>
      <c r="I55" s="444">
        <f t="shared" si="5"/>
        <v>16640</v>
      </c>
      <c r="J55" s="444">
        <f t="shared" si="4"/>
        <v>0</v>
      </c>
      <c r="K55" s="444">
        <f t="shared" si="3"/>
        <v>16640</v>
      </c>
      <c r="L55" s="299"/>
      <c r="M55" s="367"/>
    </row>
    <row r="56" spans="1:13" s="425" customFormat="1" ht="13.5" hidden="1" outlineLevel="2" x14ac:dyDescent="0.25">
      <c r="A56" s="724">
        <f t="shared" si="1"/>
        <v>34</v>
      </c>
      <c r="B56" s="605" t="s">
        <v>367</v>
      </c>
      <c r="C56" s="337" t="s">
        <v>750</v>
      </c>
      <c r="D56" s="337"/>
      <c r="E56" s="336" t="s">
        <v>45</v>
      </c>
      <c r="F56" s="544" t="s">
        <v>46</v>
      </c>
      <c r="G56" s="584">
        <v>0</v>
      </c>
      <c r="H56" s="584">
        <v>1060</v>
      </c>
      <c r="I56" s="584">
        <f>I57</f>
        <v>4180</v>
      </c>
      <c r="J56" s="584">
        <f t="shared" si="4"/>
        <v>4240</v>
      </c>
      <c r="K56" s="584">
        <f t="shared" si="3"/>
        <v>8420</v>
      </c>
      <c r="L56" s="349"/>
      <c r="M56" s="702"/>
    </row>
    <row r="57" spans="1:13" s="197" customFormat="1" hidden="1" outlineLevel="3" x14ac:dyDescent="0.25">
      <c r="A57" s="724">
        <f t="shared" si="1"/>
        <v>35</v>
      </c>
      <c r="B57" s="249"/>
      <c r="C57" s="193" t="s">
        <v>84</v>
      </c>
      <c r="D57" s="193"/>
      <c r="E57" s="177" t="s">
        <v>45</v>
      </c>
      <c r="F57" s="363" t="s">
        <v>46</v>
      </c>
      <c r="G57" s="484">
        <v>1045</v>
      </c>
      <c r="H57" s="444">
        <v>0</v>
      </c>
      <c r="I57" s="444">
        <f t="shared" si="5"/>
        <v>4180</v>
      </c>
      <c r="J57" s="444">
        <f t="shared" si="4"/>
        <v>0</v>
      </c>
      <c r="K57" s="444">
        <f t="shared" si="3"/>
        <v>4180</v>
      </c>
      <c r="L57" s="299"/>
      <c r="M57" s="367"/>
    </row>
    <row r="58" spans="1:13" s="425" customFormat="1" ht="13.5" hidden="1" outlineLevel="2" x14ac:dyDescent="0.25">
      <c r="A58" s="724">
        <f t="shared" si="1"/>
        <v>36</v>
      </c>
      <c r="B58" s="605" t="s">
        <v>370</v>
      </c>
      <c r="C58" s="337" t="s">
        <v>1211</v>
      </c>
      <c r="D58" s="337"/>
      <c r="E58" s="552" t="s">
        <v>60</v>
      </c>
      <c r="F58" s="544">
        <v>18</v>
      </c>
      <c r="G58" s="584">
        <v>0</v>
      </c>
      <c r="H58" s="584">
        <v>1360</v>
      </c>
      <c r="I58" s="584">
        <f>I59</f>
        <v>36749.279999999999</v>
      </c>
      <c r="J58" s="584">
        <f t="shared" si="4"/>
        <v>24480</v>
      </c>
      <c r="K58" s="584">
        <f t="shared" si="3"/>
        <v>61229.279999999999</v>
      </c>
      <c r="L58" s="349"/>
      <c r="M58" s="702"/>
    </row>
    <row r="59" spans="1:13" s="197" customFormat="1" ht="25.5" hidden="1" outlineLevel="3" x14ac:dyDescent="0.25">
      <c r="A59" s="724">
        <f t="shared" si="1"/>
        <v>37</v>
      </c>
      <c r="B59" s="249"/>
      <c r="C59" s="193" t="s">
        <v>1209</v>
      </c>
      <c r="D59" s="193"/>
      <c r="E59" s="551" t="s">
        <v>295</v>
      </c>
      <c r="F59" s="363">
        <v>0.48</v>
      </c>
      <c r="G59" s="444">
        <v>76561</v>
      </c>
      <c r="H59" s="444">
        <v>0</v>
      </c>
      <c r="I59" s="444">
        <f t="shared" si="5"/>
        <v>36749.279999999999</v>
      </c>
      <c r="J59" s="444">
        <f t="shared" si="4"/>
        <v>0</v>
      </c>
      <c r="K59" s="444">
        <f t="shared" si="3"/>
        <v>36749.279999999999</v>
      </c>
      <c r="L59" s="299" t="s">
        <v>198</v>
      </c>
      <c r="M59" s="367"/>
    </row>
    <row r="60" spans="1:13" s="425" customFormat="1" ht="13.5" hidden="1" outlineLevel="2" x14ac:dyDescent="0.25">
      <c r="A60" s="724">
        <f t="shared" si="1"/>
        <v>38</v>
      </c>
      <c r="B60" s="605" t="s">
        <v>373</v>
      </c>
      <c r="C60" s="337" t="s">
        <v>202</v>
      </c>
      <c r="D60" s="337"/>
      <c r="E60" s="552" t="s">
        <v>54</v>
      </c>
      <c r="F60" s="544" t="s">
        <v>7</v>
      </c>
      <c r="G60" s="584">
        <v>0</v>
      </c>
      <c r="H60" s="584">
        <v>24963</v>
      </c>
      <c r="I60" s="584">
        <f>I61</f>
        <v>18900</v>
      </c>
      <c r="J60" s="584">
        <f t="shared" si="4"/>
        <v>24963</v>
      </c>
      <c r="K60" s="584">
        <f t="shared" si="3"/>
        <v>43863</v>
      </c>
      <c r="L60" s="349"/>
      <c r="M60" s="702"/>
    </row>
    <row r="61" spans="1:13" s="197" customFormat="1" hidden="1" outlineLevel="3" x14ac:dyDescent="0.25">
      <c r="A61" s="724">
        <f t="shared" si="1"/>
        <v>39</v>
      </c>
      <c r="B61" s="249"/>
      <c r="C61" s="193" t="s">
        <v>1310</v>
      </c>
      <c r="D61" s="193"/>
      <c r="E61" s="177" t="s">
        <v>45</v>
      </c>
      <c r="F61" s="363" t="s">
        <v>7</v>
      </c>
      <c r="G61" s="444">
        <v>18900</v>
      </c>
      <c r="H61" s="444">
        <v>0</v>
      </c>
      <c r="I61" s="444">
        <f t="shared" si="5"/>
        <v>18900</v>
      </c>
      <c r="J61" s="444">
        <f t="shared" si="4"/>
        <v>0</v>
      </c>
      <c r="K61" s="444">
        <f t="shared" si="3"/>
        <v>18900</v>
      </c>
      <c r="L61" s="299"/>
      <c r="M61" s="367"/>
    </row>
    <row r="62" spans="1:13" s="425" customFormat="1" ht="13.5" hidden="1" outlineLevel="2" x14ac:dyDescent="0.25">
      <c r="A62" s="724">
        <f t="shared" si="1"/>
        <v>40</v>
      </c>
      <c r="B62" s="605" t="s">
        <v>584</v>
      </c>
      <c r="C62" s="337" t="s">
        <v>204</v>
      </c>
      <c r="D62" s="337"/>
      <c r="E62" s="552" t="s">
        <v>54</v>
      </c>
      <c r="F62" s="544" t="s">
        <v>7</v>
      </c>
      <c r="G62" s="584">
        <v>0</v>
      </c>
      <c r="H62" s="584">
        <v>38800</v>
      </c>
      <c r="I62" s="584">
        <f t="shared" si="5"/>
        <v>0</v>
      </c>
      <c r="J62" s="584">
        <f t="shared" si="4"/>
        <v>38800</v>
      </c>
      <c r="K62" s="584">
        <f t="shared" si="3"/>
        <v>38800</v>
      </c>
      <c r="L62" s="349"/>
      <c r="M62" s="702"/>
    </row>
    <row r="63" spans="1:13" s="425" customFormat="1" ht="13.5" hidden="1" outlineLevel="2" collapsed="1" x14ac:dyDescent="0.25">
      <c r="A63" s="724">
        <f t="shared" si="1"/>
        <v>41</v>
      </c>
      <c r="B63" s="605" t="s">
        <v>585</v>
      </c>
      <c r="C63" s="337" t="s">
        <v>205</v>
      </c>
      <c r="D63" s="337"/>
      <c r="E63" s="336" t="s">
        <v>573</v>
      </c>
      <c r="F63" s="544" t="s">
        <v>7</v>
      </c>
      <c r="G63" s="584">
        <v>0</v>
      </c>
      <c r="H63" s="584">
        <v>17360</v>
      </c>
      <c r="I63" s="584">
        <f>I64</f>
        <v>43254</v>
      </c>
      <c r="J63" s="584">
        <f t="shared" si="4"/>
        <v>17360</v>
      </c>
      <c r="K63" s="584">
        <f t="shared" si="3"/>
        <v>60614</v>
      </c>
      <c r="L63" s="349"/>
      <c r="M63" s="702"/>
    </row>
    <row r="64" spans="1:13" s="197" customFormat="1" hidden="1" outlineLevel="2" x14ac:dyDescent="0.25">
      <c r="A64" s="724">
        <f t="shared" si="1"/>
        <v>42</v>
      </c>
      <c r="B64" s="249"/>
      <c r="C64" s="193" t="s">
        <v>1309</v>
      </c>
      <c r="D64" s="193"/>
      <c r="E64" s="177" t="s">
        <v>45</v>
      </c>
      <c r="F64" s="363" t="s">
        <v>7</v>
      </c>
      <c r="G64" s="444">
        <v>43254</v>
      </c>
      <c r="H64" s="444"/>
      <c r="I64" s="444">
        <f t="shared" si="5"/>
        <v>43254</v>
      </c>
      <c r="J64" s="444">
        <f t="shared" si="4"/>
        <v>0</v>
      </c>
      <c r="K64" s="444">
        <f t="shared" si="3"/>
        <v>43254</v>
      </c>
      <c r="L64" s="299"/>
      <c r="M64" s="367"/>
    </row>
    <row r="65" spans="1:34" s="425" customFormat="1" ht="25.5" hidden="1" outlineLevel="1" x14ac:dyDescent="0.25">
      <c r="A65" s="724">
        <f t="shared" si="1"/>
        <v>43</v>
      </c>
      <c r="B65" s="605" t="s">
        <v>586</v>
      </c>
      <c r="C65" s="337" t="s">
        <v>1207</v>
      </c>
      <c r="D65" s="337"/>
      <c r="E65" s="552" t="s">
        <v>89</v>
      </c>
      <c r="F65" s="544">
        <v>523.35</v>
      </c>
      <c r="G65" s="584">
        <v>0</v>
      </c>
      <c r="H65" s="584">
        <v>1360</v>
      </c>
      <c r="I65" s="584">
        <f>SUM(I66:I70)</f>
        <v>264557.53000000003</v>
      </c>
      <c r="J65" s="584">
        <f t="shared" si="4"/>
        <v>711756</v>
      </c>
      <c r="K65" s="584">
        <f t="shared" si="3"/>
        <v>976313.53</v>
      </c>
      <c r="L65" s="349" t="s">
        <v>743</v>
      </c>
      <c r="M65" s="875" t="s">
        <v>643</v>
      </c>
    </row>
    <row r="66" spans="1:34" s="197" customFormat="1" hidden="1" outlineLevel="2" x14ac:dyDescent="0.25">
      <c r="A66" s="724">
        <f t="shared" si="1"/>
        <v>44</v>
      </c>
      <c r="B66" s="249"/>
      <c r="C66" s="193" t="s">
        <v>86</v>
      </c>
      <c r="D66" s="193"/>
      <c r="E66" s="551" t="s">
        <v>0</v>
      </c>
      <c r="F66" s="363" t="s">
        <v>187</v>
      </c>
      <c r="G66" s="444">
        <v>5009</v>
      </c>
      <c r="H66" s="444">
        <v>0</v>
      </c>
      <c r="I66" s="444">
        <f t="shared" si="5"/>
        <v>113203.4</v>
      </c>
      <c r="J66" s="444">
        <v>0</v>
      </c>
      <c r="K66" s="444">
        <f t="shared" si="3"/>
        <v>113203.4</v>
      </c>
      <c r="L66" s="299"/>
      <c r="M66" s="766"/>
    </row>
    <row r="67" spans="1:34" s="197" customFormat="1" hidden="1" outlineLevel="2" x14ac:dyDescent="0.25">
      <c r="A67" s="724">
        <f t="shared" si="1"/>
        <v>45</v>
      </c>
      <c r="B67" s="249"/>
      <c r="C67" s="193" t="s">
        <v>88</v>
      </c>
      <c r="D67" s="193"/>
      <c r="E67" s="551" t="s">
        <v>89</v>
      </c>
      <c r="F67" s="363" t="s">
        <v>188</v>
      </c>
      <c r="G67" s="444">
        <v>86</v>
      </c>
      <c r="H67" s="444">
        <v>0</v>
      </c>
      <c r="I67" s="444">
        <f t="shared" si="5"/>
        <v>58299.4</v>
      </c>
      <c r="J67" s="444">
        <v>0</v>
      </c>
      <c r="K67" s="444">
        <f t="shared" si="3"/>
        <v>58299.4</v>
      </c>
      <c r="L67" s="299"/>
      <c r="M67" s="766"/>
    </row>
    <row r="68" spans="1:34" s="197" customFormat="1" hidden="1" outlineLevel="2" x14ac:dyDescent="0.25">
      <c r="A68" s="724">
        <f t="shared" si="1"/>
        <v>46</v>
      </c>
      <c r="B68" s="249"/>
      <c r="C68" s="193" t="s">
        <v>91</v>
      </c>
      <c r="D68" s="193"/>
      <c r="E68" s="551" t="s">
        <v>92</v>
      </c>
      <c r="F68" s="363" t="s">
        <v>189</v>
      </c>
      <c r="G68" s="444">
        <v>38.9</v>
      </c>
      <c r="H68" s="444">
        <v>0</v>
      </c>
      <c r="I68" s="444">
        <f t="shared" si="5"/>
        <v>36733.269999999997</v>
      </c>
      <c r="J68" s="444">
        <v>0</v>
      </c>
      <c r="K68" s="444">
        <f t="shared" si="3"/>
        <v>36733.269999999997</v>
      </c>
      <c r="L68" s="299"/>
      <c r="M68" s="766"/>
    </row>
    <row r="69" spans="1:34" s="197" customFormat="1" hidden="1" outlineLevel="2" x14ac:dyDescent="0.25">
      <c r="A69" s="724">
        <f t="shared" si="1"/>
        <v>47</v>
      </c>
      <c r="B69" s="249"/>
      <c r="C69" s="193" t="s">
        <v>94</v>
      </c>
      <c r="D69" s="193"/>
      <c r="E69" s="551" t="s">
        <v>89</v>
      </c>
      <c r="F69" s="363" t="s">
        <v>190</v>
      </c>
      <c r="G69" s="444">
        <v>90</v>
      </c>
      <c r="H69" s="444">
        <v>0</v>
      </c>
      <c r="I69" s="444">
        <f t="shared" si="5"/>
        <v>51237</v>
      </c>
      <c r="J69" s="444">
        <v>0</v>
      </c>
      <c r="K69" s="444">
        <f t="shared" si="3"/>
        <v>51237</v>
      </c>
      <c r="L69" s="299"/>
      <c r="M69" s="766"/>
    </row>
    <row r="70" spans="1:34" s="197" customFormat="1" hidden="1" outlineLevel="2" x14ac:dyDescent="0.25">
      <c r="A70" s="724">
        <f t="shared" si="1"/>
        <v>48</v>
      </c>
      <c r="B70" s="249"/>
      <c r="C70" s="193" t="s">
        <v>1311</v>
      </c>
      <c r="D70" s="193"/>
      <c r="E70" s="551" t="s">
        <v>92</v>
      </c>
      <c r="F70" s="363" t="s">
        <v>192</v>
      </c>
      <c r="G70" s="444">
        <v>84.6</v>
      </c>
      <c r="H70" s="444">
        <v>0</v>
      </c>
      <c r="I70" s="444">
        <f t="shared" si="5"/>
        <v>5084.46</v>
      </c>
      <c r="J70" s="444">
        <v>0</v>
      </c>
      <c r="K70" s="444">
        <f t="shared" si="3"/>
        <v>5084.46</v>
      </c>
      <c r="L70" s="299"/>
      <c r="M70" s="767"/>
    </row>
    <row r="71" spans="1:34" s="341" customFormat="1" ht="38.25" collapsed="1" x14ac:dyDescent="0.25">
      <c r="A71" s="724">
        <f t="shared" si="1"/>
        <v>49</v>
      </c>
      <c r="B71" s="602" t="s">
        <v>98</v>
      </c>
      <c r="C71" s="376" t="s">
        <v>675</v>
      </c>
      <c r="D71" s="376"/>
      <c r="E71" s="395" t="s">
        <v>0</v>
      </c>
      <c r="F71" s="430">
        <f t="shared" ref="F71:J71" si="6">SUM(F72:F73)</f>
        <v>17595</v>
      </c>
      <c r="G71" s="445">
        <f t="shared" si="6"/>
        <v>0</v>
      </c>
      <c r="H71" s="445">
        <f t="shared" si="6"/>
        <v>3900</v>
      </c>
      <c r="I71" s="445">
        <f t="shared" si="6"/>
        <v>0</v>
      </c>
      <c r="J71" s="445">
        <f t="shared" si="6"/>
        <v>17082900</v>
      </c>
      <c r="K71" s="445">
        <f>SUM(I71:J71)</f>
        <v>17082900</v>
      </c>
      <c r="L71" s="432"/>
      <c r="M71" s="28"/>
    </row>
    <row r="72" spans="1:34" s="341" customFormat="1" ht="25.5" hidden="1" outlineLevel="1" x14ac:dyDescent="0.25">
      <c r="A72" s="724">
        <f t="shared" si="1"/>
        <v>50</v>
      </c>
      <c r="B72" s="249" t="s">
        <v>16</v>
      </c>
      <c r="C72" s="339" t="s">
        <v>677</v>
      </c>
      <c r="D72" s="339"/>
      <c r="E72" s="630" t="s">
        <v>0</v>
      </c>
      <c r="F72" s="343">
        <v>17001</v>
      </c>
      <c r="G72" s="461">
        <v>0</v>
      </c>
      <c r="H72" s="464">
        <v>900</v>
      </c>
      <c r="I72" s="464">
        <f>G72*F72</f>
        <v>0</v>
      </c>
      <c r="J72" s="464">
        <f t="shared" ref="J72:J75" si="7">H72*F72</f>
        <v>15300900</v>
      </c>
      <c r="K72" s="464">
        <f t="shared" ref="K72:K75" si="8">I72+J72</f>
        <v>15300900</v>
      </c>
      <c r="L72" s="342"/>
      <c r="M72" s="342"/>
    </row>
    <row r="73" spans="1:34" s="347" customFormat="1" hidden="1" outlineLevel="1" x14ac:dyDescent="0.25">
      <c r="A73" s="724">
        <f t="shared" si="1"/>
        <v>51</v>
      </c>
      <c r="B73" s="249" t="s">
        <v>17</v>
      </c>
      <c r="C73" s="339" t="s">
        <v>25</v>
      </c>
      <c r="D73" s="339"/>
      <c r="E73" s="2" t="s">
        <v>0</v>
      </c>
      <c r="F73" s="340">
        <v>594</v>
      </c>
      <c r="G73" s="482">
        <v>0</v>
      </c>
      <c r="H73" s="464">
        <v>3000</v>
      </c>
      <c r="I73" s="464">
        <f>G73*F73</f>
        <v>0</v>
      </c>
      <c r="J73" s="464">
        <f t="shared" si="7"/>
        <v>1782000</v>
      </c>
      <c r="K73" s="464">
        <f t="shared" si="8"/>
        <v>1782000</v>
      </c>
      <c r="L73" s="346"/>
      <c r="M73" s="2"/>
    </row>
    <row r="74" spans="1:34" ht="38.25" collapsed="1" x14ac:dyDescent="0.25">
      <c r="A74" s="724">
        <f t="shared" si="1"/>
        <v>52</v>
      </c>
      <c r="B74" s="603" t="s">
        <v>46</v>
      </c>
      <c r="C74" s="440" t="s">
        <v>63</v>
      </c>
      <c r="D74" s="440"/>
      <c r="E74" s="631" t="s">
        <v>60</v>
      </c>
      <c r="F74" s="441">
        <v>265</v>
      </c>
      <c r="G74" s="446">
        <f>G75</f>
        <v>50930</v>
      </c>
      <c r="H74" s="446">
        <f>H75</f>
        <v>20372</v>
      </c>
      <c r="I74" s="446">
        <f>I75</f>
        <v>112046</v>
      </c>
      <c r="J74" s="446">
        <f>J75</f>
        <v>44818.400000000001</v>
      </c>
      <c r="K74" s="446">
        <f>SUM(I74:J74)</f>
        <v>156864.4</v>
      </c>
      <c r="L74" s="385" t="s">
        <v>691</v>
      </c>
      <c r="M74" s="768" t="s">
        <v>143</v>
      </c>
    </row>
    <row r="75" spans="1:34" s="197" customFormat="1" ht="25.5" hidden="1" outlineLevel="1" x14ac:dyDescent="0.25">
      <c r="A75" s="724">
        <f t="shared" si="1"/>
        <v>53</v>
      </c>
      <c r="B75" s="192"/>
      <c r="C75" s="193" t="s">
        <v>1287</v>
      </c>
      <c r="D75" s="193"/>
      <c r="E75" s="551" t="s">
        <v>295</v>
      </c>
      <c r="F75" s="195">
        <v>2.2000000000000002</v>
      </c>
      <c r="G75" s="464">
        <v>50930</v>
      </c>
      <c r="H75" s="464">
        <v>20372</v>
      </c>
      <c r="I75" s="464">
        <f>G75*F75</f>
        <v>112046</v>
      </c>
      <c r="J75" s="464">
        <f t="shared" si="7"/>
        <v>44818.400000000001</v>
      </c>
      <c r="K75" s="464">
        <f t="shared" si="8"/>
        <v>156864.4</v>
      </c>
      <c r="L75" s="193"/>
      <c r="M75" s="769"/>
    </row>
    <row r="76" spans="1:34" s="426" customFormat="1" ht="25.5" collapsed="1" x14ac:dyDescent="0.25">
      <c r="A76" s="724">
        <f t="shared" si="1"/>
        <v>54</v>
      </c>
      <c r="B76" s="603" t="s">
        <v>74</v>
      </c>
      <c r="C76" s="440" t="s">
        <v>1204</v>
      </c>
      <c r="D76" s="440"/>
      <c r="E76" s="631" t="s">
        <v>89</v>
      </c>
      <c r="F76" s="441">
        <v>159</v>
      </c>
      <c r="G76" s="446">
        <f>G77+G83</f>
        <v>0</v>
      </c>
      <c r="H76" s="446">
        <f>H77+H83</f>
        <v>3260</v>
      </c>
      <c r="I76" s="446">
        <f>SUMIF(G77:G84,G77,I77:I84)</f>
        <v>176150.96</v>
      </c>
      <c r="J76" s="446">
        <f>SUMIF(G77:G84,G77,J77:J84)</f>
        <v>280840</v>
      </c>
      <c r="K76" s="446">
        <f>SUM(I76:J76)</f>
        <v>456990.96</v>
      </c>
      <c r="L76" s="385"/>
      <c r="M76" s="770" t="s">
        <v>643</v>
      </c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425"/>
      <c r="AE76" s="425"/>
      <c r="AF76" s="425"/>
      <c r="AG76" s="425"/>
      <c r="AH76" s="425"/>
    </row>
    <row r="77" spans="1:34" s="686" customFormat="1" ht="25.5" hidden="1" outlineLevel="1" x14ac:dyDescent="0.25">
      <c r="A77" s="724">
        <f t="shared" si="1"/>
        <v>55</v>
      </c>
      <c r="B77" s="691" t="s">
        <v>417</v>
      </c>
      <c r="C77" s="692" t="s">
        <v>1204</v>
      </c>
      <c r="D77" s="692"/>
      <c r="E77" s="108" t="s">
        <v>89</v>
      </c>
      <c r="F77" s="693">
        <v>159</v>
      </c>
      <c r="G77" s="703">
        <v>0</v>
      </c>
      <c r="H77" s="694">
        <v>1360</v>
      </c>
      <c r="I77" s="694">
        <f>SUM(I78:I82)</f>
        <v>80950.960000000006</v>
      </c>
      <c r="J77" s="694">
        <f>H77*F77</f>
        <v>216240</v>
      </c>
      <c r="K77" s="694">
        <f>SUM(I77:J77)</f>
        <v>297190.96000000002</v>
      </c>
      <c r="L77" s="685"/>
      <c r="M77" s="770"/>
      <c r="N77" s="425"/>
      <c r="O77" s="425"/>
    </row>
    <row r="78" spans="1:34" s="197" customFormat="1" hidden="1" outlineLevel="2" x14ac:dyDescent="0.25">
      <c r="A78" s="724">
        <f t="shared" si="1"/>
        <v>56</v>
      </c>
      <c r="B78" s="192"/>
      <c r="C78" s="193" t="s">
        <v>86</v>
      </c>
      <c r="D78" s="193"/>
      <c r="E78" s="551" t="s">
        <v>0</v>
      </c>
      <c r="F78" s="195" t="s">
        <v>87</v>
      </c>
      <c r="G78" s="444">
        <v>5009</v>
      </c>
      <c r="H78" s="464">
        <v>0</v>
      </c>
      <c r="I78" s="464">
        <f t="shared" ref="I78:I84" si="9">G78*F78</f>
        <v>35063</v>
      </c>
      <c r="J78" s="464">
        <v>0</v>
      </c>
      <c r="K78" s="684">
        <f t="shared" ref="K78:K84" si="10">SUM(I78:J78)</f>
        <v>35063</v>
      </c>
      <c r="L78" s="193"/>
      <c r="M78" s="770"/>
      <c r="N78" s="425"/>
      <c r="O78" s="425"/>
    </row>
    <row r="79" spans="1:34" s="197" customFormat="1" hidden="1" outlineLevel="2" x14ac:dyDescent="0.25">
      <c r="A79" s="724">
        <f t="shared" si="1"/>
        <v>57</v>
      </c>
      <c r="B79" s="192"/>
      <c r="C79" s="193" t="s">
        <v>88</v>
      </c>
      <c r="D79" s="193"/>
      <c r="E79" s="551" t="s">
        <v>89</v>
      </c>
      <c r="F79" s="195" t="s">
        <v>90</v>
      </c>
      <c r="G79" s="444">
        <v>86</v>
      </c>
      <c r="H79" s="464">
        <v>0</v>
      </c>
      <c r="I79" s="464">
        <f t="shared" si="9"/>
        <v>17681.599999999999</v>
      </c>
      <c r="J79" s="464">
        <v>0</v>
      </c>
      <c r="K79" s="684">
        <f t="shared" si="10"/>
        <v>17681.599999999999</v>
      </c>
      <c r="L79" s="193"/>
      <c r="M79" s="770"/>
      <c r="N79" s="425"/>
      <c r="O79" s="425"/>
    </row>
    <row r="80" spans="1:34" s="197" customFormat="1" hidden="1" outlineLevel="2" x14ac:dyDescent="0.25">
      <c r="A80" s="724">
        <f t="shared" si="1"/>
        <v>58</v>
      </c>
      <c r="B80" s="192"/>
      <c r="C80" s="193" t="s">
        <v>91</v>
      </c>
      <c r="D80" s="193"/>
      <c r="E80" s="551" t="s">
        <v>92</v>
      </c>
      <c r="F80" s="195" t="s">
        <v>93</v>
      </c>
      <c r="G80" s="444">
        <v>38.9</v>
      </c>
      <c r="H80" s="464">
        <v>0</v>
      </c>
      <c r="I80" s="464">
        <f t="shared" si="9"/>
        <v>11133.18</v>
      </c>
      <c r="J80" s="464">
        <v>0</v>
      </c>
      <c r="K80" s="684">
        <f t="shared" si="10"/>
        <v>11133.18</v>
      </c>
      <c r="L80" s="193"/>
      <c r="M80" s="770"/>
    </row>
    <row r="81" spans="1:13" s="197" customFormat="1" hidden="1" outlineLevel="2" x14ac:dyDescent="0.25">
      <c r="A81" s="724">
        <f t="shared" si="1"/>
        <v>59</v>
      </c>
      <c r="B81" s="192"/>
      <c r="C81" s="193" t="s">
        <v>94</v>
      </c>
      <c r="D81" s="193"/>
      <c r="E81" s="551" t="s">
        <v>89</v>
      </c>
      <c r="F81" s="195" t="s">
        <v>95</v>
      </c>
      <c r="G81" s="444">
        <v>90</v>
      </c>
      <c r="H81" s="464">
        <v>0</v>
      </c>
      <c r="I81" s="464">
        <f t="shared" si="9"/>
        <v>15525</v>
      </c>
      <c r="J81" s="464">
        <v>0</v>
      </c>
      <c r="K81" s="684">
        <f t="shared" si="10"/>
        <v>15525</v>
      </c>
      <c r="L81" s="193"/>
      <c r="M81" s="770"/>
    </row>
    <row r="82" spans="1:13" s="197" customFormat="1" hidden="1" outlineLevel="2" x14ac:dyDescent="0.25">
      <c r="A82" s="724">
        <f t="shared" si="1"/>
        <v>60</v>
      </c>
      <c r="B82" s="192"/>
      <c r="C82" s="193" t="s">
        <v>96</v>
      </c>
      <c r="D82" s="193"/>
      <c r="E82" s="551" t="s">
        <v>92</v>
      </c>
      <c r="F82" s="195" t="s">
        <v>97</v>
      </c>
      <c r="G82" s="444">
        <v>84.6</v>
      </c>
      <c r="H82" s="464">
        <v>0</v>
      </c>
      <c r="I82" s="464">
        <f t="shared" si="9"/>
        <v>1548.18</v>
      </c>
      <c r="J82" s="464">
        <v>0</v>
      </c>
      <c r="K82" s="684">
        <f t="shared" si="10"/>
        <v>1548.18</v>
      </c>
      <c r="L82" s="193"/>
      <c r="M82" s="770"/>
    </row>
    <row r="83" spans="1:13" s="425" customFormat="1" ht="13.5" hidden="1" outlineLevel="1" x14ac:dyDescent="0.25">
      <c r="A83" s="724">
        <f t="shared" si="1"/>
        <v>61</v>
      </c>
      <c r="B83" s="704" t="s">
        <v>418</v>
      </c>
      <c r="C83" s="337" t="s">
        <v>1289</v>
      </c>
      <c r="D83" s="337"/>
      <c r="E83" s="552" t="s">
        <v>0</v>
      </c>
      <c r="F83" s="705">
        <v>34</v>
      </c>
      <c r="G83" s="584">
        <v>0</v>
      </c>
      <c r="H83" s="584">
        <v>1900</v>
      </c>
      <c r="I83" s="584">
        <f>I84</f>
        <v>95200</v>
      </c>
      <c r="J83" s="584">
        <f>H83*F83</f>
        <v>64600</v>
      </c>
      <c r="K83" s="694">
        <f t="shared" si="10"/>
        <v>159800</v>
      </c>
      <c r="L83" s="337"/>
      <c r="M83" s="543"/>
    </row>
    <row r="84" spans="1:13" s="197" customFormat="1" hidden="1" outlineLevel="2" x14ac:dyDescent="0.25">
      <c r="A84" s="724">
        <f t="shared" si="1"/>
        <v>62</v>
      </c>
      <c r="B84" s="192"/>
      <c r="C84" s="193" t="s">
        <v>81</v>
      </c>
      <c r="D84" s="193"/>
      <c r="E84" s="551" t="s">
        <v>0</v>
      </c>
      <c r="F84" s="195">
        <v>34</v>
      </c>
      <c r="G84" s="444">
        <v>2800</v>
      </c>
      <c r="H84" s="464">
        <v>0</v>
      </c>
      <c r="I84" s="464">
        <f t="shared" si="9"/>
        <v>95200</v>
      </c>
      <c r="J84" s="464">
        <f>H84*F84</f>
        <v>0</v>
      </c>
      <c r="K84" s="684">
        <f t="shared" si="10"/>
        <v>95200</v>
      </c>
      <c r="L84" s="193"/>
      <c r="M84" s="360"/>
    </row>
    <row r="85" spans="1:13" s="425" customFormat="1" ht="13.5" collapsed="1" x14ac:dyDescent="0.25">
      <c r="A85" s="724">
        <f t="shared" si="1"/>
        <v>63</v>
      </c>
      <c r="B85" s="602" t="s">
        <v>582</v>
      </c>
      <c r="C85" s="376" t="s">
        <v>744</v>
      </c>
      <c r="D85" s="376"/>
      <c r="E85" s="395" t="s">
        <v>60</v>
      </c>
      <c r="F85" s="395">
        <v>389</v>
      </c>
      <c r="G85" s="445">
        <f>SUM(G86:G97)</f>
        <v>85940</v>
      </c>
      <c r="H85" s="445">
        <f>SUM(H86:H97)</f>
        <v>41758</v>
      </c>
      <c r="I85" s="458">
        <f>SUMIF(G86:G98,G86,I86:I98)+I93</f>
        <v>1049716</v>
      </c>
      <c r="J85" s="458">
        <f>SUMIF(G86:G98,G86,J86:J98)+J93</f>
        <v>992882</v>
      </c>
      <c r="K85" s="458">
        <f>SUM(I85:J85)</f>
        <v>2042598</v>
      </c>
      <c r="L85" s="433"/>
      <c r="M85" s="259"/>
    </row>
    <row r="86" spans="1:13" s="425" customFormat="1" ht="25.5" hidden="1" outlineLevel="1" x14ac:dyDescent="0.25">
      <c r="A86" s="724">
        <f t="shared" si="1"/>
        <v>64</v>
      </c>
      <c r="B86" s="706" t="s">
        <v>755</v>
      </c>
      <c r="C86" s="65" t="s">
        <v>745</v>
      </c>
      <c r="D86" s="65"/>
      <c r="E86" s="316" t="s">
        <v>0</v>
      </c>
      <c r="F86" s="707">
        <v>42</v>
      </c>
      <c r="G86" s="708">
        <v>0</v>
      </c>
      <c r="H86" s="584">
        <v>900</v>
      </c>
      <c r="I86" s="584">
        <f>G86*F86</f>
        <v>0</v>
      </c>
      <c r="J86" s="584">
        <f>H86*F86</f>
        <v>37800</v>
      </c>
      <c r="K86" s="584">
        <f>SUM(I86:J86)</f>
        <v>37800</v>
      </c>
      <c r="L86" s="350"/>
      <c r="M86" s="259"/>
    </row>
    <row r="87" spans="1:13" s="425" customFormat="1" ht="13.5" hidden="1" outlineLevel="1" x14ac:dyDescent="0.25">
      <c r="A87" s="724">
        <f t="shared" si="1"/>
        <v>65</v>
      </c>
      <c r="B87" s="704" t="s">
        <v>756</v>
      </c>
      <c r="C87" s="337" t="s">
        <v>49</v>
      </c>
      <c r="D87" s="337"/>
      <c r="E87" s="336" t="s">
        <v>45</v>
      </c>
      <c r="F87" s="705" t="s">
        <v>46</v>
      </c>
      <c r="G87" s="584">
        <v>0</v>
      </c>
      <c r="H87" s="584">
        <v>12733</v>
      </c>
      <c r="I87" s="584">
        <f>I88</f>
        <v>61116</v>
      </c>
      <c r="J87" s="584">
        <f t="shared" ref="J87:J98" si="11">H87*F87</f>
        <v>50932</v>
      </c>
      <c r="K87" s="584">
        <f t="shared" ref="K87:K98" si="12">SUM(I87:J87)</f>
        <v>112048</v>
      </c>
      <c r="L87" s="349"/>
      <c r="M87" s="543"/>
    </row>
    <row r="88" spans="1:13" s="197" customFormat="1" ht="25.5" hidden="1" outlineLevel="2" x14ac:dyDescent="0.25">
      <c r="A88" s="724">
        <f t="shared" si="1"/>
        <v>66</v>
      </c>
      <c r="B88" s="192"/>
      <c r="C88" s="193" t="s">
        <v>1288</v>
      </c>
      <c r="D88" s="193"/>
      <c r="E88" s="551" t="s">
        <v>295</v>
      </c>
      <c r="F88" s="195">
        <v>1.2</v>
      </c>
      <c r="G88" s="444">
        <v>50930</v>
      </c>
      <c r="H88" s="464">
        <v>0</v>
      </c>
      <c r="I88" s="464">
        <f t="shared" ref="I88:I98" si="13">G88*F88</f>
        <v>61116</v>
      </c>
      <c r="J88" s="464">
        <f t="shared" si="11"/>
        <v>0</v>
      </c>
      <c r="K88" s="464">
        <f>SUM(I88:J88)</f>
        <v>61116</v>
      </c>
      <c r="L88" s="299" t="s">
        <v>79</v>
      </c>
      <c r="M88" s="367"/>
    </row>
    <row r="89" spans="1:13" s="425" customFormat="1" ht="13.5" hidden="1" outlineLevel="1" x14ac:dyDescent="0.25">
      <c r="A89" s="724">
        <f t="shared" ref="A89:A152" si="14">A88+1</f>
        <v>67</v>
      </c>
      <c r="B89" s="704" t="s">
        <v>757</v>
      </c>
      <c r="C89" s="337" t="s">
        <v>50</v>
      </c>
      <c r="D89" s="337"/>
      <c r="E89" s="552" t="s">
        <v>0</v>
      </c>
      <c r="F89" s="705" t="s">
        <v>51</v>
      </c>
      <c r="G89" s="584">
        <v>0</v>
      </c>
      <c r="H89" s="584">
        <v>1900</v>
      </c>
      <c r="I89" s="584">
        <f>I90</f>
        <v>106400</v>
      </c>
      <c r="J89" s="584">
        <f t="shared" si="11"/>
        <v>72200</v>
      </c>
      <c r="K89" s="584">
        <f t="shared" si="12"/>
        <v>178600</v>
      </c>
      <c r="L89" s="349"/>
      <c r="M89" s="543"/>
    </row>
    <row r="90" spans="1:13" s="197" customFormat="1" hidden="1" outlineLevel="2" x14ac:dyDescent="0.25">
      <c r="A90" s="724">
        <f t="shared" si="14"/>
        <v>68</v>
      </c>
      <c r="B90" s="192"/>
      <c r="C90" s="193" t="s">
        <v>81</v>
      </c>
      <c r="D90" s="193"/>
      <c r="E90" s="551" t="s">
        <v>0</v>
      </c>
      <c r="F90" s="195">
        <v>38</v>
      </c>
      <c r="G90" s="444">
        <v>2800</v>
      </c>
      <c r="H90" s="464">
        <v>0</v>
      </c>
      <c r="I90" s="464">
        <f t="shared" si="13"/>
        <v>106400</v>
      </c>
      <c r="J90" s="464">
        <f t="shared" si="11"/>
        <v>0</v>
      </c>
      <c r="K90" s="464">
        <f t="shared" si="12"/>
        <v>106400</v>
      </c>
      <c r="L90" s="196"/>
      <c r="M90" s="196"/>
    </row>
    <row r="91" spans="1:13" s="425" customFormat="1" ht="13.5" hidden="1" outlineLevel="1" x14ac:dyDescent="0.25">
      <c r="A91" s="724">
        <f t="shared" si="14"/>
        <v>69</v>
      </c>
      <c r="B91" s="704" t="s">
        <v>758</v>
      </c>
      <c r="C91" s="337" t="s">
        <v>52</v>
      </c>
      <c r="D91" s="337"/>
      <c r="E91" s="336" t="s">
        <v>45</v>
      </c>
      <c r="F91" s="705" t="s">
        <v>46</v>
      </c>
      <c r="G91" s="584">
        <v>0</v>
      </c>
      <c r="H91" s="584">
        <v>22650</v>
      </c>
      <c r="I91" s="584">
        <f>I92</f>
        <v>151000</v>
      </c>
      <c r="J91" s="584">
        <f t="shared" si="11"/>
        <v>90600</v>
      </c>
      <c r="K91" s="584">
        <f t="shared" si="12"/>
        <v>241600</v>
      </c>
      <c r="L91" s="349"/>
      <c r="M91" s="543"/>
    </row>
    <row r="92" spans="1:13" s="197" customFormat="1" ht="25.5" hidden="1" outlineLevel="2" x14ac:dyDescent="0.25">
      <c r="A92" s="724">
        <f t="shared" si="14"/>
        <v>70</v>
      </c>
      <c r="B92" s="192"/>
      <c r="C92" s="193" t="s">
        <v>73</v>
      </c>
      <c r="D92" s="193"/>
      <c r="E92" s="177" t="s">
        <v>45</v>
      </c>
      <c r="F92" s="195" t="s">
        <v>74</v>
      </c>
      <c r="G92" s="444">
        <v>30200</v>
      </c>
      <c r="H92" s="464">
        <v>0</v>
      </c>
      <c r="I92" s="464">
        <f t="shared" si="13"/>
        <v>151000</v>
      </c>
      <c r="J92" s="464">
        <f t="shared" si="11"/>
        <v>0</v>
      </c>
      <c r="K92" s="464">
        <f t="shared" si="12"/>
        <v>151000</v>
      </c>
      <c r="L92" s="585"/>
      <c r="M92" s="367"/>
    </row>
    <row r="93" spans="1:13" s="425" customFormat="1" ht="13.5" hidden="1" outlineLevel="1" x14ac:dyDescent="0.25">
      <c r="A93" s="724">
        <f t="shared" si="14"/>
        <v>71</v>
      </c>
      <c r="B93" s="704" t="s">
        <v>1303</v>
      </c>
      <c r="C93" s="337" t="s">
        <v>753</v>
      </c>
      <c r="D93" s="337"/>
      <c r="E93" s="336" t="s">
        <v>1214</v>
      </c>
      <c r="F93" s="705" t="s">
        <v>7</v>
      </c>
      <c r="G93" s="584">
        <v>1800</v>
      </c>
      <c r="H93" s="584">
        <v>450</v>
      </c>
      <c r="I93" s="584">
        <v>1800</v>
      </c>
      <c r="J93" s="584">
        <f t="shared" si="11"/>
        <v>450</v>
      </c>
      <c r="K93" s="584">
        <f t="shared" si="12"/>
        <v>2250</v>
      </c>
      <c r="L93" s="349"/>
      <c r="M93" s="543"/>
    </row>
    <row r="94" spans="1:13" s="425" customFormat="1" ht="38.25" hidden="1" outlineLevel="1" collapsed="1" x14ac:dyDescent="0.25">
      <c r="A94" s="724">
        <f t="shared" si="14"/>
        <v>72</v>
      </c>
      <c r="B94" s="704" t="s">
        <v>1304</v>
      </c>
      <c r="C94" s="337" t="s">
        <v>1213</v>
      </c>
      <c r="D94" s="337"/>
      <c r="E94" s="552" t="s">
        <v>0</v>
      </c>
      <c r="F94" s="705">
        <v>253</v>
      </c>
      <c r="G94" s="584">
        <v>0</v>
      </c>
      <c r="H94" s="584">
        <v>900</v>
      </c>
      <c r="I94" s="584">
        <f t="shared" si="13"/>
        <v>0</v>
      </c>
      <c r="J94" s="584">
        <f t="shared" si="11"/>
        <v>227700</v>
      </c>
      <c r="K94" s="584">
        <f t="shared" si="12"/>
        <v>227700</v>
      </c>
      <c r="L94" s="349"/>
      <c r="M94" s="543"/>
    </row>
    <row r="95" spans="1:13" s="425" customFormat="1" ht="25.5" hidden="1" outlineLevel="1" x14ac:dyDescent="0.25">
      <c r="A95" s="724">
        <f t="shared" si="14"/>
        <v>73</v>
      </c>
      <c r="B95" s="704" t="s">
        <v>1305</v>
      </c>
      <c r="C95" s="337" t="s">
        <v>59</v>
      </c>
      <c r="D95" s="337"/>
      <c r="E95" s="552" t="s">
        <v>60</v>
      </c>
      <c r="F95" s="705" t="s">
        <v>61</v>
      </c>
      <c r="G95" s="584">
        <v>0</v>
      </c>
      <c r="H95" s="584">
        <v>325</v>
      </c>
      <c r="I95" s="584">
        <f>I96</f>
        <v>21000</v>
      </c>
      <c r="J95" s="584">
        <f t="shared" si="11"/>
        <v>32500</v>
      </c>
      <c r="K95" s="584">
        <f t="shared" si="12"/>
        <v>53500</v>
      </c>
      <c r="L95" s="349" t="s">
        <v>759</v>
      </c>
      <c r="M95" s="543"/>
    </row>
    <row r="96" spans="1:13" s="197" customFormat="1" hidden="1" outlineLevel="2" x14ac:dyDescent="0.25">
      <c r="A96" s="724">
        <f t="shared" si="14"/>
        <v>74</v>
      </c>
      <c r="B96" s="192"/>
      <c r="C96" s="193" t="s">
        <v>80</v>
      </c>
      <c r="D96" s="193"/>
      <c r="E96" s="551" t="s">
        <v>60</v>
      </c>
      <c r="F96" s="195" t="s">
        <v>61</v>
      </c>
      <c r="G96" s="444">
        <v>210</v>
      </c>
      <c r="H96" s="464">
        <v>0</v>
      </c>
      <c r="I96" s="464">
        <f t="shared" si="13"/>
        <v>21000</v>
      </c>
      <c r="J96" s="464">
        <f t="shared" si="11"/>
        <v>0</v>
      </c>
      <c r="K96" s="464">
        <f t="shared" si="12"/>
        <v>21000</v>
      </c>
      <c r="L96" s="299"/>
      <c r="M96" s="367"/>
    </row>
    <row r="97" spans="1:34" s="425" customFormat="1" ht="13.5" hidden="1" outlineLevel="1" x14ac:dyDescent="0.25">
      <c r="A97" s="724">
        <f t="shared" si="14"/>
        <v>75</v>
      </c>
      <c r="B97" s="704" t="s">
        <v>1306</v>
      </c>
      <c r="C97" s="337" t="s">
        <v>1212</v>
      </c>
      <c r="D97" s="337"/>
      <c r="E97" s="552" t="s">
        <v>0</v>
      </c>
      <c r="F97" s="705">
        <v>253</v>
      </c>
      <c r="G97" s="584">
        <v>0</v>
      </c>
      <c r="H97" s="584">
        <v>1900</v>
      </c>
      <c r="I97" s="584">
        <f>I98</f>
        <v>708400</v>
      </c>
      <c r="J97" s="584">
        <f t="shared" si="11"/>
        <v>480700</v>
      </c>
      <c r="K97" s="584">
        <f t="shared" si="12"/>
        <v>1189100</v>
      </c>
      <c r="L97" s="349"/>
      <c r="M97" s="543"/>
    </row>
    <row r="98" spans="1:34" s="197" customFormat="1" hidden="1" outlineLevel="2" x14ac:dyDescent="0.25">
      <c r="A98" s="724">
        <f t="shared" si="14"/>
        <v>76</v>
      </c>
      <c r="B98" s="192"/>
      <c r="C98" s="193" t="s">
        <v>81</v>
      </c>
      <c r="D98" s="193"/>
      <c r="E98" s="551" t="s">
        <v>0</v>
      </c>
      <c r="F98" s="195">
        <v>253</v>
      </c>
      <c r="G98" s="444">
        <v>2800</v>
      </c>
      <c r="H98" s="464">
        <v>0</v>
      </c>
      <c r="I98" s="464">
        <f t="shared" si="13"/>
        <v>708400</v>
      </c>
      <c r="J98" s="464">
        <f t="shared" si="11"/>
        <v>0</v>
      </c>
      <c r="K98" s="464">
        <f t="shared" si="12"/>
        <v>708400</v>
      </c>
      <c r="L98" s="196"/>
      <c r="M98" s="367"/>
    </row>
    <row r="99" spans="1:34" s="341" customFormat="1" ht="25.5" x14ac:dyDescent="0.25">
      <c r="A99" s="724">
        <f t="shared" si="14"/>
        <v>77</v>
      </c>
      <c r="B99" s="638"/>
      <c r="C99" s="128" t="s">
        <v>734</v>
      </c>
      <c r="D99" s="128"/>
      <c r="E99" s="629"/>
      <c r="F99" s="709"/>
      <c r="G99" s="640"/>
      <c r="H99" s="640"/>
      <c r="I99" s="640">
        <f>I100+I101+I142+I153+I220+I306+I316</f>
        <v>118133751.81999999</v>
      </c>
      <c r="J99" s="640">
        <f>J100+J101+J142+J153+J220+J306+J316</f>
        <v>86256090.150000006</v>
      </c>
      <c r="K99" s="640">
        <f>SUM(I99:J99)</f>
        <v>204389841.97</v>
      </c>
      <c r="L99" s="641"/>
      <c r="M99" s="342"/>
    </row>
    <row r="100" spans="1:34" s="34" customFormat="1" ht="25.5" x14ac:dyDescent="0.25">
      <c r="A100" s="724">
        <f t="shared" si="14"/>
        <v>78</v>
      </c>
      <c r="B100" s="602" t="s">
        <v>7</v>
      </c>
      <c r="C100" s="376" t="s">
        <v>733</v>
      </c>
      <c r="D100" s="740"/>
      <c r="E100" s="420" t="s">
        <v>0</v>
      </c>
      <c r="F100" s="421">
        <v>14955</v>
      </c>
      <c r="G100" s="445">
        <v>0</v>
      </c>
      <c r="H100" s="501">
        <f>900*1.35</f>
        <v>1215</v>
      </c>
      <c r="I100" s="446">
        <f t="shared" ref="I100" si="15">G100*F100</f>
        <v>0</v>
      </c>
      <c r="J100" s="446">
        <f t="shared" ref="J100:J152" si="16">H100*F100</f>
        <v>18170325</v>
      </c>
      <c r="K100" s="458">
        <f>SUM(I100:J100)</f>
        <v>18170325</v>
      </c>
      <c r="L100" s="387"/>
      <c r="M100" s="28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  <c r="AF100" s="341"/>
      <c r="AG100" s="341"/>
      <c r="AH100" s="341"/>
    </row>
    <row r="101" spans="1:34" s="63" customFormat="1" ht="25.5" collapsed="1" x14ac:dyDescent="0.25">
      <c r="A101" s="724">
        <f t="shared" si="14"/>
        <v>79</v>
      </c>
      <c r="B101" s="602" t="s">
        <v>6</v>
      </c>
      <c r="C101" s="380" t="s">
        <v>732</v>
      </c>
      <c r="D101" s="380"/>
      <c r="E101" s="385" t="s">
        <v>573</v>
      </c>
      <c r="F101" s="386">
        <v>1</v>
      </c>
      <c r="G101" s="445">
        <f>SUM(G102:G141)</f>
        <v>50373.78</v>
      </c>
      <c r="H101" s="445">
        <f>SUM(H102:H141)</f>
        <v>19264</v>
      </c>
      <c r="I101" s="445">
        <f>SUMIF(G102:G141,G102,I102:I141)</f>
        <v>31856354.469999999</v>
      </c>
      <c r="J101" s="445">
        <f>SUMIF(G102:G141,G102,J102:J141)</f>
        <v>14516015.6</v>
      </c>
      <c r="K101" s="458">
        <f>SUM(I101:J101)</f>
        <v>46372370.07</v>
      </c>
      <c r="L101" s="382"/>
      <c r="M101" s="65"/>
      <c r="N101" s="338"/>
      <c r="O101" s="338"/>
      <c r="P101" s="338"/>
      <c r="Q101" s="338"/>
      <c r="R101" s="338"/>
      <c r="S101" s="338"/>
      <c r="T101" s="338"/>
      <c r="U101" s="338"/>
      <c r="V101" s="338"/>
      <c r="W101" s="338"/>
      <c r="X101" s="338"/>
      <c r="Y101" s="338"/>
      <c r="Z101" s="338"/>
      <c r="AA101" s="338"/>
      <c r="AB101" s="338"/>
      <c r="AC101" s="338"/>
      <c r="AD101" s="338"/>
      <c r="AE101" s="338"/>
      <c r="AF101" s="338"/>
      <c r="AG101" s="338"/>
      <c r="AH101" s="338"/>
    </row>
    <row r="102" spans="1:34" s="338" customFormat="1" ht="13.5" hidden="1" outlineLevel="1" x14ac:dyDescent="0.25">
      <c r="A102" s="724">
        <f t="shared" si="14"/>
        <v>80</v>
      </c>
      <c r="B102" s="605" t="s">
        <v>16</v>
      </c>
      <c r="C102" s="246" t="s">
        <v>212</v>
      </c>
      <c r="D102" s="246"/>
      <c r="E102" s="247" t="s">
        <v>89</v>
      </c>
      <c r="F102" s="336">
        <v>6474</v>
      </c>
      <c r="G102" s="488">
        <v>0</v>
      </c>
      <c r="H102" s="584">
        <v>255</v>
      </c>
      <c r="I102" s="584">
        <f>I103</f>
        <v>1326930.46</v>
      </c>
      <c r="J102" s="584">
        <f t="shared" si="16"/>
        <v>1650870</v>
      </c>
      <c r="K102" s="584">
        <f>SUM(I102:J102)</f>
        <v>2977800.46</v>
      </c>
      <c r="L102" s="349"/>
      <c r="M102" s="337"/>
    </row>
    <row r="103" spans="1:34" s="252" customFormat="1" hidden="1" outlineLevel="2" x14ac:dyDescent="0.25">
      <c r="A103" s="724">
        <f t="shared" si="14"/>
        <v>81</v>
      </c>
      <c r="B103" s="249"/>
      <c r="C103" s="250" t="s">
        <v>213</v>
      </c>
      <c r="D103" s="250"/>
      <c r="E103" s="178" t="s">
        <v>89</v>
      </c>
      <c r="F103" s="177">
        <v>7121.4</v>
      </c>
      <c r="G103" s="484">
        <v>186.33</v>
      </c>
      <c r="H103" s="444">
        <v>0</v>
      </c>
      <c r="I103" s="444">
        <f t="shared" ref="I103:I141" si="17">G103*F103</f>
        <v>1326930.46</v>
      </c>
      <c r="J103" s="444">
        <f t="shared" si="16"/>
        <v>0</v>
      </c>
      <c r="K103" s="444">
        <f t="shared" ref="K103:K141" si="18">SUM(I103:J103)</f>
        <v>1326930.46</v>
      </c>
      <c r="L103" s="299" t="s">
        <v>215</v>
      </c>
      <c r="M103" s="193"/>
    </row>
    <row r="104" spans="1:34" s="338" customFormat="1" ht="13.5" hidden="1" outlineLevel="1" x14ac:dyDescent="0.25">
      <c r="A104" s="724">
        <f t="shared" si="14"/>
        <v>82</v>
      </c>
      <c r="B104" s="605" t="s">
        <v>17</v>
      </c>
      <c r="C104" s="246" t="s">
        <v>216</v>
      </c>
      <c r="D104" s="246"/>
      <c r="E104" s="247" t="s">
        <v>89</v>
      </c>
      <c r="F104" s="336">
        <v>126</v>
      </c>
      <c r="G104" s="488">
        <v>0</v>
      </c>
      <c r="H104" s="584">
        <v>255</v>
      </c>
      <c r="I104" s="584">
        <f>I105</f>
        <v>25825.34</v>
      </c>
      <c r="J104" s="584">
        <f t="shared" si="16"/>
        <v>32130</v>
      </c>
      <c r="K104" s="584">
        <f t="shared" si="18"/>
        <v>57955.34</v>
      </c>
      <c r="L104" s="349"/>
      <c r="M104" s="337"/>
    </row>
    <row r="105" spans="1:34" s="252" customFormat="1" hidden="1" outlineLevel="2" x14ac:dyDescent="0.25">
      <c r="A105" s="724">
        <f t="shared" si="14"/>
        <v>83</v>
      </c>
      <c r="B105" s="249"/>
      <c r="C105" s="250" t="s">
        <v>217</v>
      </c>
      <c r="D105" s="250"/>
      <c r="E105" s="178" t="s">
        <v>89</v>
      </c>
      <c r="F105" s="177">
        <v>138.6</v>
      </c>
      <c r="G105" s="484">
        <v>186.33</v>
      </c>
      <c r="H105" s="444">
        <v>0</v>
      </c>
      <c r="I105" s="444">
        <f t="shared" si="17"/>
        <v>25825.34</v>
      </c>
      <c r="J105" s="444">
        <f t="shared" si="16"/>
        <v>0</v>
      </c>
      <c r="K105" s="444">
        <f t="shared" si="18"/>
        <v>25825.34</v>
      </c>
      <c r="L105" s="299" t="s">
        <v>215</v>
      </c>
      <c r="M105" s="193"/>
    </row>
    <row r="106" spans="1:34" s="338" customFormat="1" ht="13.5" hidden="1" outlineLevel="1" x14ac:dyDescent="0.25">
      <c r="A106" s="724">
        <f t="shared" si="14"/>
        <v>84</v>
      </c>
      <c r="B106" s="605" t="s">
        <v>18</v>
      </c>
      <c r="C106" s="246" t="s">
        <v>218</v>
      </c>
      <c r="D106" s="246"/>
      <c r="E106" s="247" t="s">
        <v>89</v>
      </c>
      <c r="F106" s="336">
        <v>336</v>
      </c>
      <c r="G106" s="488">
        <v>0</v>
      </c>
      <c r="H106" s="584">
        <v>255</v>
      </c>
      <c r="I106" s="584">
        <f>I107</f>
        <v>68867.570000000007</v>
      </c>
      <c r="J106" s="584">
        <f t="shared" si="16"/>
        <v>85680</v>
      </c>
      <c r="K106" s="584">
        <f t="shared" si="18"/>
        <v>154547.57</v>
      </c>
      <c r="L106" s="585" t="s">
        <v>215</v>
      </c>
      <c r="M106" s="337"/>
    </row>
    <row r="107" spans="1:34" s="252" customFormat="1" hidden="1" outlineLevel="2" x14ac:dyDescent="0.25">
      <c r="A107" s="724">
        <f t="shared" si="14"/>
        <v>85</v>
      </c>
      <c r="B107" s="249"/>
      <c r="C107" s="250" t="s">
        <v>219</v>
      </c>
      <c r="D107" s="250"/>
      <c r="E107" s="178" t="s">
        <v>89</v>
      </c>
      <c r="F107" s="177">
        <v>369.6</v>
      </c>
      <c r="G107" s="484">
        <v>186.33</v>
      </c>
      <c r="H107" s="444">
        <v>0</v>
      </c>
      <c r="I107" s="444">
        <f t="shared" si="17"/>
        <v>68867.570000000007</v>
      </c>
      <c r="J107" s="444">
        <f t="shared" si="16"/>
        <v>0</v>
      </c>
      <c r="K107" s="444">
        <f t="shared" si="18"/>
        <v>68867.570000000007</v>
      </c>
      <c r="L107" s="299" t="s">
        <v>220</v>
      </c>
      <c r="M107" s="193"/>
    </row>
    <row r="108" spans="1:34" s="338" customFormat="1" ht="13.5" hidden="1" outlineLevel="1" x14ac:dyDescent="0.25">
      <c r="A108" s="724">
        <f t="shared" si="14"/>
        <v>86</v>
      </c>
      <c r="B108" s="605" t="s">
        <v>19</v>
      </c>
      <c r="C108" s="246" t="s">
        <v>731</v>
      </c>
      <c r="D108" s="246"/>
      <c r="E108" s="247" t="s">
        <v>89</v>
      </c>
      <c r="F108" s="336">
        <v>6350</v>
      </c>
      <c r="G108" s="488">
        <v>0</v>
      </c>
      <c r="H108" s="584">
        <v>735</v>
      </c>
      <c r="I108" s="584">
        <f>I109</f>
        <v>12082373.6</v>
      </c>
      <c r="J108" s="584">
        <f t="shared" si="16"/>
        <v>4667250</v>
      </c>
      <c r="K108" s="584">
        <f t="shared" si="18"/>
        <v>16749623.6</v>
      </c>
      <c r="L108" s="349" t="s">
        <v>687</v>
      </c>
      <c r="M108" s="337"/>
    </row>
    <row r="109" spans="1:34" s="252" customFormat="1" hidden="1" outlineLevel="2" x14ac:dyDescent="0.25">
      <c r="A109" s="724">
        <f t="shared" si="14"/>
        <v>87</v>
      </c>
      <c r="B109" s="249"/>
      <c r="C109" s="250" t="s">
        <v>718</v>
      </c>
      <c r="D109" s="250"/>
      <c r="E109" s="178" t="s">
        <v>89</v>
      </c>
      <c r="F109" s="177">
        <v>6985</v>
      </c>
      <c r="G109" s="484">
        <v>1729.76</v>
      </c>
      <c r="H109" s="444">
        <v>0</v>
      </c>
      <c r="I109" s="444">
        <f t="shared" si="17"/>
        <v>12082373.6</v>
      </c>
      <c r="J109" s="444">
        <f t="shared" si="16"/>
        <v>0</v>
      </c>
      <c r="K109" s="444">
        <f t="shared" si="18"/>
        <v>12082373.6</v>
      </c>
      <c r="L109" s="299" t="s">
        <v>224</v>
      </c>
      <c r="M109" s="193"/>
    </row>
    <row r="110" spans="1:34" s="338" customFormat="1" ht="13.5" hidden="1" outlineLevel="1" x14ac:dyDescent="0.25">
      <c r="A110" s="724">
        <f t="shared" si="14"/>
        <v>88</v>
      </c>
      <c r="B110" s="605" t="s">
        <v>20</v>
      </c>
      <c r="C110" s="246" t="s">
        <v>730</v>
      </c>
      <c r="D110" s="246"/>
      <c r="E110" s="247" t="s">
        <v>89</v>
      </c>
      <c r="F110" s="336">
        <v>126</v>
      </c>
      <c r="G110" s="488">
        <v>0</v>
      </c>
      <c r="H110" s="584">
        <v>735</v>
      </c>
      <c r="I110" s="584">
        <f>I111</f>
        <v>239744.74</v>
      </c>
      <c r="J110" s="584">
        <f t="shared" si="16"/>
        <v>92610</v>
      </c>
      <c r="K110" s="584">
        <f t="shared" si="18"/>
        <v>332354.74</v>
      </c>
      <c r="L110" s="349" t="s">
        <v>687</v>
      </c>
      <c r="M110" s="337"/>
    </row>
    <row r="111" spans="1:34" s="252" customFormat="1" hidden="1" outlineLevel="2" x14ac:dyDescent="0.25">
      <c r="A111" s="724">
        <f t="shared" si="14"/>
        <v>89</v>
      </c>
      <c r="B111" s="249"/>
      <c r="C111" s="250" t="s">
        <v>718</v>
      </c>
      <c r="D111" s="250"/>
      <c r="E111" s="178" t="s">
        <v>89</v>
      </c>
      <c r="F111" s="177">
        <v>138.6</v>
      </c>
      <c r="G111" s="484">
        <v>1729.76</v>
      </c>
      <c r="H111" s="444">
        <v>0</v>
      </c>
      <c r="I111" s="444">
        <f t="shared" si="17"/>
        <v>239744.74</v>
      </c>
      <c r="J111" s="444">
        <f t="shared" si="16"/>
        <v>0</v>
      </c>
      <c r="K111" s="444">
        <f t="shared" si="18"/>
        <v>239744.74</v>
      </c>
      <c r="L111" s="299" t="s">
        <v>224</v>
      </c>
      <c r="M111" s="193"/>
    </row>
    <row r="112" spans="1:34" s="338" customFormat="1" ht="25.5" hidden="1" outlineLevel="1" x14ac:dyDescent="0.25">
      <c r="A112" s="724">
        <f t="shared" si="14"/>
        <v>90</v>
      </c>
      <c r="B112" s="605" t="s">
        <v>308</v>
      </c>
      <c r="C112" s="246" t="s">
        <v>729</v>
      </c>
      <c r="D112" s="246"/>
      <c r="E112" s="247" t="s">
        <v>89</v>
      </c>
      <c r="F112" s="336">
        <v>336</v>
      </c>
      <c r="G112" s="488">
        <v>0</v>
      </c>
      <c r="H112" s="584">
        <v>735</v>
      </c>
      <c r="I112" s="584">
        <f>I113</f>
        <v>639319.30000000005</v>
      </c>
      <c r="J112" s="584">
        <f t="shared" si="16"/>
        <v>246960</v>
      </c>
      <c r="K112" s="584">
        <f t="shared" si="18"/>
        <v>886279.3</v>
      </c>
      <c r="L112" s="349" t="s">
        <v>687</v>
      </c>
      <c r="M112" s="337"/>
    </row>
    <row r="113" spans="1:13" s="252" customFormat="1" hidden="1" outlineLevel="2" x14ac:dyDescent="0.25">
      <c r="A113" s="724">
        <f t="shared" si="14"/>
        <v>91</v>
      </c>
      <c r="B113" s="249"/>
      <c r="C113" s="250" t="s">
        <v>719</v>
      </c>
      <c r="D113" s="250"/>
      <c r="E113" s="178" t="s">
        <v>89</v>
      </c>
      <c r="F113" s="177">
        <v>369.6</v>
      </c>
      <c r="G113" s="484">
        <v>1729.76</v>
      </c>
      <c r="H113" s="444">
        <v>0</v>
      </c>
      <c r="I113" s="444">
        <f t="shared" si="17"/>
        <v>639319.30000000005</v>
      </c>
      <c r="J113" s="444">
        <f t="shared" si="16"/>
        <v>0</v>
      </c>
      <c r="K113" s="444">
        <f t="shared" si="18"/>
        <v>639319.30000000005</v>
      </c>
      <c r="L113" s="299" t="s">
        <v>220</v>
      </c>
      <c r="M113" s="193"/>
    </row>
    <row r="114" spans="1:13" s="338" customFormat="1" ht="25.5" hidden="1" outlineLevel="1" x14ac:dyDescent="0.25">
      <c r="A114" s="724">
        <f t="shared" si="14"/>
        <v>92</v>
      </c>
      <c r="B114" s="605" t="s">
        <v>311</v>
      </c>
      <c r="C114" s="246" t="s">
        <v>721</v>
      </c>
      <c r="D114" s="246"/>
      <c r="E114" s="247" t="s">
        <v>89</v>
      </c>
      <c r="F114" s="336">
        <v>446</v>
      </c>
      <c r="G114" s="488">
        <v>0</v>
      </c>
      <c r="H114" s="584">
        <v>735</v>
      </c>
      <c r="I114" s="584">
        <f>I115</f>
        <v>848620.26</v>
      </c>
      <c r="J114" s="584">
        <f t="shared" si="16"/>
        <v>327810</v>
      </c>
      <c r="K114" s="584">
        <f t="shared" si="18"/>
        <v>1176430.26</v>
      </c>
      <c r="L114" s="349" t="s">
        <v>228</v>
      </c>
      <c r="M114" s="337"/>
    </row>
    <row r="115" spans="1:13" s="252" customFormat="1" hidden="1" outlineLevel="2" x14ac:dyDescent="0.25">
      <c r="A115" s="724">
        <f t="shared" si="14"/>
        <v>93</v>
      </c>
      <c r="B115" s="249"/>
      <c r="C115" s="250" t="s">
        <v>722</v>
      </c>
      <c r="D115" s="250"/>
      <c r="E115" s="178" t="s">
        <v>89</v>
      </c>
      <c r="F115" s="177">
        <v>490.6</v>
      </c>
      <c r="G115" s="484">
        <v>1729.76</v>
      </c>
      <c r="H115" s="444">
        <v>0</v>
      </c>
      <c r="I115" s="444">
        <f t="shared" si="17"/>
        <v>848620.26</v>
      </c>
      <c r="J115" s="444">
        <f t="shared" si="16"/>
        <v>0</v>
      </c>
      <c r="K115" s="444">
        <f t="shared" si="18"/>
        <v>848620.26</v>
      </c>
      <c r="L115" s="299" t="s">
        <v>220</v>
      </c>
      <c r="M115" s="193"/>
    </row>
    <row r="116" spans="1:13" s="338" customFormat="1" ht="13.5" hidden="1" outlineLevel="1" x14ac:dyDescent="0.25">
      <c r="A116" s="724">
        <f t="shared" si="14"/>
        <v>94</v>
      </c>
      <c r="B116" s="605" t="s">
        <v>315</v>
      </c>
      <c r="C116" s="246" t="s">
        <v>229</v>
      </c>
      <c r="D116" s="246"/>
      <c r="E116" s="247" t="s">
        <v>0</v>
      </c>
      <c r="F116" s="336">
        <f>F117</f>
        <v>122</v>
      </c>
      <c r="G116" s="488">
        <v>0</v>
      </c>
      <c r="H116" s="584">
        <v>1900</v>
      </c>
      <c r="I116" s="584">
        <f>I117</f>
        <v>341600</v>
      </c>
      <c r="J116" s="584">
        <f t="shared" si="16"/>
        <v>231800</v>
      </c>
      <c r="K116" s="584">
        <f t="shared" si="18"/>
        <v>573400</v>
      </c>
      <c r="L116" s="349"/>
      <c r="M116" s="337"/>
    </row>
    <row r="117" spans="1:13" s="252" customFormat="1" ht="25.5" hidden="1" outlineLevel="2" x14ac:dyDescent="0.25">
      <c r="A117" s="724">
        <f t="shared" si="14"/>
        <v>95</v>
      </c>
      <c r="B117" s="249"/>
      <c r="C117" s="250" t="s">
        <v>230</v>
      </c>
      <c r="D117" s="250"/>
      <c r="E117" s="178" t="s">
        <v>0</v>
      </c>
      <c r="F117" s="177">
        <v>122</v>
      </c>
      <c r="G117" s="444">
        <v>2800</v>
      </c>
      <c r="H117" s="444">
        <v>0</v>
      </c>
      <c r="I117" s="444">
        <f t="shared" si="17"/>
        <v>341600</v>
      </c>
      <c r="J117" s="444">
        <f t="shared" si="16"/>
        <v>0</v>
      </c>
      <c r="K117" s="444">
        <f t="shared" si="18"/>
        <v>341600</v>
      </c>
      <c r="L117" s="299"/>
      <c r="M117" s="193"/>
    </row>
    <row r="118" spans="1:13" s="338" customFormat="1" ht="13.5" hidden="1" outlineLevel="1" x14ac:dyDescent="0.25">
      <c r="A118" s="724">
        <f t="shared" si="14"/>
        <v>96</v>
      </c>
      <c r="B118" s="605" t="s">
        <v>319</v>
      </c>
      <c r="C118" s="246" t="s">
        <v>737</v>
      </c>
      <c r="D118" s="246"/>
      <c r="E118" s="247" t="s">
        <v>60</v>
      </c>
      <c r="F118" s="247">
        <v>237</v>
      </c>
      <c r="G118" s="488">
        <v>0</v>
      </c>
      <c r="H118" s="584">
        <v>325</v>
      </c>
      <c r="I118" s="584">
        <f>I119</f>
        <v>296487</v>
      </c>
      <c r="J118" s="584">
        <f t="shared" si="16"/>
        <v>77025</v>
      </c>
      <c r="K118" s="584">
        <f t="shared" si="18"/>
        <v>373512</v>
      </c>
      <c r="L118" s="585"/>
      <c r="M118" s="337"/>
    </row>
    <row r="119" spans="1:13" s="252" customFormat="1" ht="25.5" hidden="1" outlineLevel="2" x14ac:dyDescent="0.25">
      <c r="A119" s="724">
        <f t="shared" si="14"/>
        <v>97</v>
      </c>
      <c r="B119" s="249"/>
      <c r="C119" s="250" t="s">
        <v>232</v>
      </c>
      <c r="D119" s="250"/>
      <c r="E119" s="178" t="s">
        <v>60</v>
      </c>
      <c r="F119" s="178">
        <v>237</v>
      </c>
      <c r="G119" s="484">
        <v>1251</v>
      </c>
      <c r="H119" s="444">
        <v>0</v>
      </c>
      <c r="I119" s="444">
        <f t="shared" si="17"/>
        <v>296487</v>
      </c>
      <c r="J119" s="444">
        <f t="shared" si="16"/>
        <v>0</v>
      </c>
      <c r="K119" s="444">
        <f t="shared" si="18"/>
        <v>296487</v>
      </c>
      <c r="L119" s="299" t="s">
        <v>233</v>
      </c>
      <c r="M119" s="193"/>
    </row>
    <row r="120" spans="1:13" s="338" customFormat="1" ht="13.5" hidden="1" outlineLevel="1" x14ac:dyDescent="0.25">
      <c r="A120" s="724">
        <f t="shared" si="14"/>
        <v>98</v>
      </c>
      <c r="B120" s="605" t="s">
        <v>322</v>
      </c>
      <c r="C120" s="246" t="s">
        <v>736</v>
      </c>
      <c r="D120" s="246"/>
      <c r="E120" s="247" t="s">
        <v>89</v>
      </c>
      <c r="F120" s="336">
        <v>6235</v>
      </c>
      <c r="G120" s="488">
        <v>0</v>
      </c>
      <c r="H120" s="584">
        <v>735</v>
      </c>
      <c r="I120" s="584">
        <f>I121</f>
        <v>11863558.960000001</v>
      </c>
      <c r="J120" s="584">
        <f t="shared" si="16"/>
        <v>4582725</v>
      </c>
      <c r="K120" s="584">
        <f t="shared" si="18"/>
        <v>16446283.960000001</v>
      </c>
      <c r="L120" s="349" t="s">
        <v>687</v>
      </c>
      <c r="M120" s="337"/>
    </row>
    <row r="121" spans="1:13" s="252" customFormat="1" hidden="1" outlineLevel="2" x14ac:dyDescent="0.25">
      <c r="A121" s="724">
        <f t="shared" si="14"/>
        <v>99</v>
      </c>
      <c r="B121" s="249"/>
      <c r="C121" s="250" t="s">
        <v>720</v>
      </c>
      <c r="D121" s="250"/>
      <c r="E121" s="178" t="s">
        <v>89</v>
      </c>
      <c r="F121" s="177">
        <v>6858.5</v>
      </c>
      <c r="G121" s="484">
        <v>1729.76</v>
      </c>
      <c r="H121" s="444">
        <v>0</v>
      </c>
      <c r="I121" s="444">
        <f t="shared" si="17"/>
        <v>11863558.960000001</v>
      </c>
      <c r="J121" s="444">
        <f t="shared" si="16"/>
        <v>0</v>
      </c>
      <c r="K121" s="444">
        <f t="shared" si="18"/>
        <v>11863558.960000001</v>
      </c>
      <c r="L121" s="299" t="s">
        <v>220</v>
      </c>
      <c r="M121" s="193"/>
    </row>
    <row r="122" spans="1:13" s="338" customFormat="1" ht="13.5" hidden="1" outlineLevel="1" x14ac:dyDescent="0.25">
      <c r="A122" s="724">
        <f t="shared" si="14"/>
        <v>100</v>
      </c>
      <c r="B122" s="605" t="s">
        <v>325</v>
      </c>
      <c r="C122" s="246" t="s">
        <v>723</v>
      </c>
      <c r="D122" s="246"/>
      <c r="E122" s="247" t="s">
        <v>89</v>
      </c>
      <c r="F122" s="336">
        <v>126</v>
      </c>
      <c r="G122" s="488">
        <v>0</v>
      </c>
      <c r="H122" s="584">
        <v>735</v>
      </c>
      <c r="I122" s="584">
        <f>I123</f>
        <v>239744.74</v>
      </c>
      <c r="J122" s="584">
        <f t="shared" si="16"/>
        <v>92610</v>
      </c>
      <c r="K122" s="584">
        <f t="shared" si="18"/>
        <v>332354.74</v>
      </c>
      <c r="L122" s="349" t="s">
        <v>687</v>
      </c>
      <c r="M122" s="337"/>
    </row>
    <row r="123" spans="1:13" s="252" customFormat="1" hidden="1" outlineLevel="2" x14ac:dyDescent="0.25">
      <c r="A123" s="724">
        <f t="shared" si="14"/>
        <v>101</v>
      </c>
      <c r="B123" s="249"/>
      <c r="C123" s="250" t="s">
        <v>720</v>
      </c>
      <c r="D123" s="250"/>
      <c r="E123" s="178" t="s">
        <v>89</v>
      </c>
      <c r="F123" s="177">
        <v>138.6</v>
      </c>
      <c r="G123" s="484">
        <v>1729.76</v>
      </c>
      <c r="H123" s="444">
        <v>0</v>
      </c>
      <c r="I123" s="444">
        <f t="shared" si="17"/>
        <v>239744.74</v>
      </c>
      <c r="J123" s="444">
        <f t="shared" si="16"/>
        <v>0</v>
      </c>
      <c r="K123" s="444">
        <f t="shared" si="18"/>
        <v>239744.74</v>
      </c>
      <c r="L123" s="299" t="s">
        <v>220</v>
      </c>
      <c r="M123" s="193"/>
    </row>
    <row r="124" spans="1:13" s="338" customFormat="1" ht="13.5" hidden="1" outlineLevel="1" x14ac:dyDescent="0.25">
      <c r="A124" s="724">
        <f t="shared" si="14"/>
        <v>102</v>
      </c>
      <c r="B124" s="605" t="s">
        <v>328</v>
      </c>
      <c r="C124" s="246" t="s">
        <v>724</v>
      </c>
      <c r="D124" s="246"/>
      <c r="E124" s="247" t="s">
        <v>89</v>
      </c>
      <c r="F124" s="336">
        <v>336</v>
      </c>
      <c r="G124" s="488">
        <v>0</v>
      </c>
      <c r="H124" s="584">
        <v>735</v>
      </c>
      <c r="I124" s="584">
        <f>I125</f>
        <v>639319.30000000005</v>
      </c>
      <c r="J124" s="584">
        <f t="shared" si="16"/>
        <v>246960</v>
      </c>
      <c r="K124" s="584">
        <f t="shared" si="18"/>
        <v>886279.3</v>
      </c>
      <c r="L124" s="349" t="s">
        <v>687</v>
      </c>
      <c r="M124" s="337"/>
    </row>
    <row r="125" spans="1:13" s="252" customFormat="1" hidden="1" outlineLevel="2" x14ac:dyDescent="0.25">
      <c r="A125" s="724">
        <f t="shared" si="14"/>
        <v>103</v>
      </c>
      <c r="B125" s="249"/>
      <c r="C125" s="250" t="s">
        <v>720</v>
      </c>
      <c r="D125" s="250"/>
      <c r="E125" s="178" t="s">
        <v>89</v>
      </c>
      <c r="F125" s="177">
        <v>369.6</v>
      </c>
      <c r="G125" s="484">
        <v>1729.76</v>
      </c>
      <c r="H125" s="444">
        <v>0</v>
      </c>
      <c r="I125" s="444">
        <f t="shared" si="17"/>
        <v>639319.30000000005</v>
      </c>
      <c r="J125" s="444">
        <f t="shared" si="16"/>
        <v>0</v>
      </c>
      <c r="K125" s="444">
        <f t="shared" si="18"/>
        <v>639319.30000000005</v>
      </c>
      <c r="L125" s="299" t="s">
        <v>220</v>
      </c>
      <c r="M125" s="193"/>
    </row>
    <row r="126" spans="1:13" s="338" customFormat="1" ht="13.5" hidden="1" outlineLevel="1" x14ac:dyDescent="0.25">
      <c r="A126" s="724">
        <f t="shared" si="14"/>
        <v>104</v>
      </c>
      <c r="B126" s="605" t="s">
        <v>363</v>
      </c>
      <c r="C126" s="246" t="s">
        <v>237</v>
      </c>
      <c r="D126" s="246"/>
      <c r="E126" s="247" t="s">
        <v>60</v>
      </c>
      <c r="F126" s="336">
        <v>4658</v>
      </c>
      <c r="G126" s="488">
        <v>0</v>
      </c>
      <c r="H126" s="584">
        <v>120</v>
      </c>
      <c r="I126" s="584">
        <f>I127</f>
        <v>537999</v>
      </c>
      <c r="J126" s="584">
        <f t="shared" si="16"/>
        <v>558960</v>
      </c>
      <c r="K126" s="584">
        <f t="shared" si="18"/>
        <v>1096959</v>
      </c>
      <c r="L126" s="349"/>
      <c r="M126" s="337"/>
    </row>
    <row r="127" spans="1:13" s="252" customFormat="1" hidden="1" outlineLevel="2" x14ac:dyDescent="0.25">
      <c r="A127" s="724">
        <f t="shared" si="14"/>
        <v>105</v>
      </c>
      <c r="B127" s="249"/>
      <c r="C127" s="250" t="s">
        <v>1291</v>
      </c>
      <c r="D127" s="250"/>
      <c r="E127" s="178" t="s">
        <v>60</v>
      </c>
      <c r="F127" s="177">
        <v>4658</v>
      </c>
      <c r="G127" s="484">
        <v>115.5</v>
      </c>
      <c r="H127" s="444">
        <v>0</v>
      </c>
      <c r="I127" s="444">
        <f t="shared" si="17"/>
        <v>537999</v>
      </c>
      <c r="J127" s="444">
        <f t="shared" si="16"/>
        <v>0</v>
      </c>
      <c r="K127" s="444">
        <f t="shared" si="18"/>
        <v>537999</v>
      </c>
      <c r="L127" s="299"/>
      <c r="M127" s="193"/>
    </row>
    <row r="128" spans="1:13" s="338" customFormat="1" ht="13.5" hidden="1" outlineLevel="1" x14ac:dyDescent="0.25">
      <c r="A128" s="724">
        <f t="shared" si="14"/>
        <v>106</v>
      </c>
      <c r="B128" s="605" t="s">
        <v>367</v>
      </c>
      <c r="C128" s="246" t="s">
        <v>241</v>
      </c>
      <c r="D128" s="246"/>
      <c r="E128" s="247" t="s">
        <v>89</v>
      </c>
      <c r="F128" s="336">
        <v>453</v>
      </c>
      <c r="G128" s="488">
        <v>0</v>
      </c>
      <c r="H128" s="584">
        <v>405</v>
      </c>
      <c r="I128" s="584">
        <f>I129</f>
        <v>84202.73</v>
      </c>
      <c r="J128" s="584">
        <f t="shared" si="16"/>
        <v>183465</v>
      </c>
      <c r="K128" s="584">
        <f t="shared" si="18"/>
        <v>267667.73</v>
      </c>
      <c r="L128" s="349"/>
      <c r="M128" s="337"/>
    </row>
    <row r="129" spans="1:34" s="252" customFormat="1" hidden="1" outlineLevel="2" x14ac:dyDescent="0.25">
      <c r="A129" s="724">
        <f t="shared" si="14"/>
        <v>107</v>
      </c>
      <c r="B129" s="249"/>
      <c r="C129" s="250" t="s">
        <v>242</v>
      </c>
      <c r="D129" s="250"/>
      <c r="E129" s="178" t="s">
        <v>89</v>
      </c>
      <c r="F129" s="177">
        <v>498.3</v>
      </c>
      <c r="G129" s="444">
        <v>168.98</v>
      </c>
      <c r="H129" s="444">
        <v>0</v>
      </c>
      <c r="I129" s="444">
        <f t="shared" si="17"/>
        <v>84202.73</v>
      </c>
      <c r="J129" s="444">
        <f t="shared" si="16"/>
        <v>0</v>
      </c>
      <c r="K129" s="444">
        <f t="shared" si="18"/>
        <v>84202.73</v>
      </c>
      <c r="L129" s="299" t="s">
        <v>220</v>
      </c>
      <c r="M129" s="193"/>
    </row>
    <row r="130" spans="1:34" s="338" customFormat="1" ht="25.5" hidden="1" outlineLevel="1" x14ac:dyDescent="0.25">
      <c r="A130" s="724">
        <f t="shared" si="14"/>
        <v>108</v>
      </c>
      <c r="B130" s="605" t="s">
        <v>370</v>
      </c>
      <c r="C130" s="246" t="s">
        <v>243</v>
      </c>
      <c r="D130" s="246"/>
      <c r="E130" s="247" t="s">
        <v>60</v>
      </c>
      <c r="F130" s="336">
        <v>135</v>
      </c>
      <c r="G130" s="488">
        <v>0</v>
      </c>
      <c r="H130" s="488">
        <v>1090</v>
      </c>
      <c r="I130" s="584">
        <f>I131</f>
        <v>189420</v>
      </c>
      <c r="J130" s="584">
        <f t="shared" si="16"/>
        <v>147150</v>
      </c>
      <c r="K130" s="584">
        <f t="shared" si="18"/>
        <v>336570</v>
      </c>
      <c r="L130" s="349"/>
      <c r="M130" s="337"/>
    </row>
    <row r="131" spans="1:34" s="252" customFormat="1" ht="25.5" hidden="1" outlineLevel="2" x14ac:dyDescent="0.25">
      <c r="A131" s="724">
        <f t="shared" si="14"/>
        <v>109</v>
      </c>
      <c r="B131" s="249"/>
      <c r="C131" s="250" t="s">
        <v>1205</v>
      </c>
      <c r="D131" s="250"/>
      <c r="E131" s="178" t="s">
        <v>60</v>
      </c>
      <c r="F131" s="177">
        <v>240</v>
      </c>
      <c r="G131" s="444">
        <v>789.25</v>
      </c>
      <c r="H131" s="444">
        <v>411</v>
      </c>
      <c r="I131" s="444">
        <f t="shared" si="17"/>
        <v>189420</v>
      </c>
      <c r="J131" s="444">
        <f t="shared" si="16"/>
        <v>98640</v>
      </c>
      <c r="K131" s="444">
        <f t="shared" si="18"/>
        <v>288060</v>
      </c>
      <c r="L131" s="299" t="s">
        <v>247</v>
      </c>
      <c r="M131" s="193"/>
    </row>
    <row r="132" spans="1:34" s="338" customFormat="1" ht="13.5" hidden="1" outlineLevel="1" x14ac:dyDescent="0.25">
      <c r="A132" s="724">
        <f t="shared" si="14"/>
        <v>110</v>
      </c>
      <c r="B132" s="605" t="s">
        <v>373</v>
      </c>
      <c r="C132" s="246" t="s">
        <v>1285</v>
      </c>
      <c r="D132" s="246"/>
      <c r="E132" s="247" t="s">
        <v>0</v>
      </c>
      <c r="F132" s="334" t="s">
        <v>1036</v>
      </c>
      <c r="G132" s="488">
        <v>0</v>
      </c>
      <c r="H132" s="584">
        <v>3270</v>
      </c>
      <c r="I132" s="584">
        <f>I133</f>
        <v>2054130</v>
      </c>
      <c r="J132" s="584">
        <f t="shared" si="16"/>
        <v>977730</v>
      </c>
      <c r="K132" s="584">
        <f t="shared" si="18"/>
        <v>3031860</v>
      </c>
      <c r="L132" s="349"/>
      <c r="M132" s="337"/>
    </row>
    <row r="133" spans="1:34" s="252" customFormat="1" hidden="1" outlineLevel="2" x14ac:dyDescent="0.25">
      <c r="A133" s="724">
        <f t="shared" si="14"/>
        <v>111</v>
      </c>
      <c r="B133" s="249"/>
      <c r="C133" s="250" t="s">
        <v>251</v>
      </c>
      <c r="D133" s="250"/>
      <c r="E133" s="178" t="s">
        <v>0</v>
      </c>
      <c r="F133" s="178">
        <v>299</v>
      </c>
      <c r="G133" s="484">
        <v>6870</v>
      </c>
      <c r="H133" s="444">
        <v>0</v>
      </c>
      <c r="I133" s="444">
        <f t="shared" si="17"/>
        <v>2054130</v>
      </c>
      <c r="J133" s="444">
        <f t="shared" si="16"/>
        <v>0</v>
      </c>
      <c r="K133" s="444">
        <f t="shared" si="18"/>
        <v>2054130</v>
      </c>
      <c r="L133" s="251"/>
      <c r="M133" s="193"/>
    </row>
    <row r="134" spans="1:34" s="338" customFormat="1" ht="13.5" hidden="1" outlineLevel="1" x14ac:dyDescent="0.25">
      <c r="A134" s="724">
        <f t="shared" si="14"/>
        <v>112</v>
      </c>
      <c r="B134" s="605" t="s">
        <v>584</v>
      </c>
      <c r="C134" s="246" t="s">
        <v>253</v>
      </c>
      <c r="D134" s="246"/>
      <c r="E134" s="247" t="s">
        <v>60</v>
      </c>
      <c r="F134" s="247">
        <v>306</v>
      </c>
      <c r="G134" s="488">
        <v>0</v>
      </c>
      <c r="H134" s="584">
        <v>47</v>
      </c>
      <c r="I134" s="584">
        <f>I135</f>
        <v>23556.55</v>
      </c>
      <c r="J134" s="584">
        <f t="shared" si="16"/>
        <v>14382</v>
      </c>
      <c r="K134" s="584">
        <f t="shared" si="18"/>
        <v>37938.550000000003</v>
      </c>
      <c r="L134" s="349"/>
      <c r="M134" s="337"/>
    </row>
    <row r="135" spans="1:34" s="252" customFormat="1" hidden="1" outlineLevel="2" x14ac:dyDescent="0.25">
      <c r="A135" s="724">
        <f t="shared" si="14"/>
        <v>113</v>
      </c>
      <c r="B135" s="249"/>
      <c r="C135" s="250" t="s">
        <v>254</v>
      </c>
      <c r="D135" s="250"/>
      <c r="E135" s="178" t="s">
        <v>0</v>
      </c>
      <c r="F135" s="177">
        <v>2.2999999999999998</v>
      </c>
      <c r="G135" s="444">
        <v>10241.98</v>
      </c>
      <c r="H135" s="444">
        <v>0</v>
      </c>
      <c r="I135" s="444">
        <f t="shared" si="17"/>
        <v>23556.55</v>
      </c>
      <c r="J135" s="444">
        <f t="shared" si="16"/>
        <v>0</v>
      </c>
      <c r="K135" s="444">
        <f t="shared" si="18"/>
        <v>23556.55</v>
      </c>
      <c r="L135" s="299"/>
      <c r="M135" s="193"/>
    </row>
    <row r="136" spans="1:34" s="338" customFormat="1" ht="25.5" hidden="1" outlineLevel="1" x14ac:dyDescent="0.25">
      <c r="A136" s="724">
        <f t="shared" si="14"/>
        <v>114</v>
      </c>
      <c r="B136" s="334" t="s">
        <v>585</v>
      </c>
      <c r="C136" s="246" t="s">
        <v>1286</v>
      </c>
      <c r="D136" s="246"/>
      <c r="E136" s="247" t="s">
        <v>0</v>
      </c>
      <c r="F136" s="247">
        <v>3.78</v>
      </c>
      <c r="G136" s="488">
        <v>0</v>
      </c>
      <c r="H136" s="584">
        <v>4370</v>
      </c>
      <c r="I136" s="584">
        <f>I137</f>
        <v>25968.6</v>
      </c>
      <c r="J136" s="584">
        <f t="shared" si="16"/>
        <v>16518.599999999999</v>
      </c>
      <c r="K136" s="584">
        <f t="shared" si="18"/>
        <v>42487.199999999997</v>
      </c>
      <c r="L136" s="349"/>
      <c r="M136" s="337"/>
    </row>
    <row r="137" spans="1:34" s="252" customFormat="1" hidden="1" outlineLevel="2" x14ac:dyDescent="0.25">
      <c r="A137" s="724">
        <f t="shared" si="14"/>
        <v>115</v>
      </c>
      <c r="B137" s="249"/>
      <c r="C137" s="250" t="s">
        <v>251</v>
      </c>
      <c r="D137" s="250"/>
      <c r="E137" s="178" t="s">
        <v>0</v>
      </c>
      <c r="F137" s="178">
        <v>3.78</v>
      </c>
      <c r="G137" s="484">
        <v>6870</v>
      </c>
      <c r="H137" s="444">
        <v>0</v>
      </c>
      <c r="I137" s="444">
        <f t="shared" si="17"/>
        <v>25968.6</v>
      </c>
      <c r="J137" s="444">
        <f t="shared" si="16"/>
        <v>0</v>
      </c>
      <c r="K137" s="444">
        <f t="shared" si="18"/>
        <v>25968.6</v>
      </c>
      <c r="L137" s="251"/>
      <c r="M137" s="193"/>
    </row>
    <row r="138" spans="1:34" s="338" customFormat="1" hidden="1" outlineLevel="1" x14ac:dyDescent="0.25">
      <c r="A138" s="724">
        <f t="shared" si="14"/>
        <v>116</v>
      </c>
      <c r="B138" s="334" t="s">
        <v>586</v>
      </c>
      <c r="C138" s="246" t="s">
        <v>257</v>
      </c>
      <c r="D138" s="246"/>
      <c r="E138" s="247" t="s">
        <v>60</v>
      </c>
      <c r="F138" s="247">
        <v>305</v>
      </c>
      <c r="G138" s="488">
        <v>0</v>
      </c>
      <c r="H138" s="584">
        <v>316</v>
      </c>
      <c r="I138" s="584">
        <f>I139</f>
        <v>5221.2</v>
      </c>
      <c r="J138" s="584">
        <f t="shared" si="16"/>
        <v>96380</v>
      </c>
      <c r="K138" s="584">
        <f t="shared" si="18"/>
        <v>101601.2</v>
      </c>
      <c r="L138" s="349"/>
      <c r="M138" s="337"/>
    </row>
    <row r="139" spans="1:34" s="252" customFormat="1" hidden="1" outlineLevel="2" x14ac:dyDescent="0.25">
      <c r="A139" s="724">
        <f t="shared" si="14"/>
        <v>117</v>
      </c>
      <c r="B139" s="249"/>
      <c r="C139" s="250" t="s">
        <v>251</v>
      </c>
      <c r="D139" s="250"/>
      <c r="E139" s="178" t="s">
        <v>0</v>
      </c>
      <c r="F139" s="178">
        <v>0.76</v>
      </c>
      <c r="G139" s="484">
        <v>6870</v>
      </c>
      <c r="H139" s="444">
        <v>0</v>
      </c>
      <c r="I139" s="444">
        <f t="shared" si="17"/>
        <v>5221.2</v>
      </c>
      <c r="J139" s="444">
        <f t="shared" si="16"/>
        <v>0</v>
      </c>
      <c r="K139" s="444">
        <f t="shared" si="18"/>
        <v>5221.2</v>
      </c>
      <c r="L139" s="299"/>
      <c r="M139" s="193"/>
    </row>
    <row r="140" spans="1:34" s="338" customFormat="1" ht="13.5" hidden="1" outlineLevel="1" x14ac:dyDescent="0.25">
      <c r="A140" s="724">
        <f t="shared" si="14"/>
        <v>118</v>
      </c>
      <c r="B140" s="605" t="s">
        <v>587</v>
      </c>
      <c r="C140" s="246" t="s">
        <v>728</v>
      </c>
      <c r="D140" s="246"/>
      <c r="E140" s="247" t="s">
        <v>89</v>
      </c>
      <c r="F140" s="247">
        <v>170</v>
      </c>
      <c r="G140" s="488">
        <v>0</v>
      </c>
      <c r="H140" s="488">
        <v>1100</v>
      </c>
      <c r="I140" s="584">
        <f>I141</f>
        <v>323465.12</v>
      </c>
      <c r="J140" s="584">
        <f t="shared" si="16"/>
        <v>187000</v>
      </c>
      <c r="K140" s="584">
        <f t="shared" si="18"/>
        <v>510465.12</v>
      </c>
      <c r="L140" s="349" t="s">
        <v>687</v>
      </c>
      <c r="M140" s="337"/>
    </row>
    <row r="141" spans="1:34" s="252" customFormat="1" ht="13.5" hidden="1" outlineLevel="2" x14ac:dyDescent="0.25">
      <c r="A141" s="724">
        <f t="shared" si="14"/>
        <v>119</v>
      </c>
      <c r="B141" s="249"/>
      <c r="C141" s="250" t="s">
        <v>720</v>
      </c>
      <c r="D141" s="250"/>
      <c r="E141" s="178" t="s">
        <v>89</v>
      </c>
      <c r="F141" s="183">
        <f>F140*1.1</f>
        <v>187</v>
      </c>
      <c r="G141" s="484">
        <v>1729.76</v>
      </c>
      <c r="H141" s="444">
        <v>0</v>
      </c>
      <c r="I141" s="444">
        <f t="shared" si="17"/>
        <v>323465.12</v>
      </c>
      <c r="J141" s="444">
        <f t="shared" si="16"/>
        <v>0</v>
      </c>
      <c r="K141" s="444">
        <f t="shared" si="18"/>
        <v>323465.12</v>
      </c>
      <c r="L141" s="299" t="s">
        <v>220</v>
      </c>
      <c r="M141" s="711"/>
    </row>
    <row r="142" spans="1:34" s="63" customFormat="1" ht="13.5" collapsed="1" x14ac:dyDescent="0.25">
      <c r="A142" s="724">
        <f t="shared" si="14"/>
        <v>120</v>
      </c>
      <c r="B142" s="602" t="s">
        <v>98</v>
      </c>
      <c r="C142" s="422" t="s">
        <v>738</v>
      </c>
      <c r="D142" s="422"/>
      <c r="E142" s="385" t="s">
        <v>45</v>
      </c>
      <c r="F142" s="386">
        <v>11</v>
      </c>
      <c r="G142" s="458">
        <f>SUM(G143:G152)</f>
        <v>57700.12</v>
      </c>
      <c r="H142" s="458">
        <f>SUM(H143:H152)</f>
        <v>47595</v>
      </c>
      <c r="I142" s="458">
        <f>SUMIF(G143:G152,G143,I143:I152)</f>
        <v>2755174.92</v>
      </c>
      <c r="J142" s="458">
        <f>SUMIF(G143:G152,G143,J143:J152)</f>
        <v>914205</v>
      </c>
      <c r="K142" s="458">
        <f>SUM(I142:J142)</f>
        <v>3669379.92</v>
      </c>
      <c r="L142" s="385"/>
      <c r="M142" s="65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8"/>
      <c r="AC142" s="338"/>
      <c r="AD142" s="338"/>
      <c r="AE142" s="338"/>
      <c r="AF142" s="338"/>
      <c r="AG142" s="338"/>
      <c r="AH142" s="338"/>
    </row>
    <row r="143" spans="1:34" s="338" customFormat="1" ht="13.5" hidden="1" outlineLevel="1" x14ac:dyDescent="0.25">
      <c r="A143" s="724">
        <f t="shared" si="14"/>
        <v>121</v>
      </c>
      <c r="B143" s="605" t="s">
        <v>592</v>
      </c>
      <c r="C143" s="246" t="s">
        <v>274</v>
      </c>
      <c r="D143" s="246"/>
      <c r="E143" s="247" t="s">
        <v>45</v>
      </c>
      <c r="F143" s="336">
        <v>11</v>
      </c>
      <c r="G143" s="488">
        <v>0</v>
      </c>
      <c r="H143" s="584">
        <v>27650</v>
      </c>
      <c r="I143" s="584">
        <f>SUM(I144:I145)</f>
        <v>367565</v>
      </c>
      <c r="J143" s="584">
        <f t="shared" si="16"/>
        <v>304150</v>
      </c>
      <c r="K143" s="584">
        <f>SUM(I143:J143)</f>
        <v>671715</v>
      </c>
      <c r="L143" s="349"/>
      <c r="M143" s="756" t="s">
        <v>647</v>
      </c>
    </row>
    <row r="144" spans="1:34" s="252" customFormat="1" hidden="1" outlineLevel="2" x14ac:dyDescent="0.25">
      <c r="A144" s="724">
        <f t="shared" si="14"/>
        <v>122</v>
      </c>
      <c r="B144" s="249"/>
      <c r="C144" s="250" t="s">
        <v>275</v>
      </c>
      <c r="D144" s="250"/>
      <c r="E144" s="178" t="s">
        <v>276</v>
      </c>
      <c r="F144" s="178">
        <v>11</v>
      </c>
      <c r="G144" s="444">
        <v>32315</v>
      </c>
      <c r="H144" s="444">
        <v>0</v>
      </c>
      <c r="I144" s="444">
        <f t="shared" ref="I144:I152" si="19">G144*F144</f>
        <v>355465</v>
      </c>
      <c r="J144" s="444">
        <f t="shared" si="16"/>
        <v>0</v>
      </c>
      <c r="K144" s="444">
        <f t="shared" ref="K144:K152" si="20">SUM(I144:J144)</f>
        <v>355465</v>
      </c>
      <c r="L144" s="299" t="s">
        <v>277</v>
      </c>
      <c r="M144" s="757"/>
    </row>
    <row r="145" spans="1:34" s="252" customFormat="1" hidden="1" outlineLevel="2" x14ac:dyDescent="0.25">
      <c r="A145" s="724">
        <f t="shared" si="14"/>
        <v>123</v>
      </c>
      <c r="B145" s="249"/>
      <c r="C145" s="250" t="s">
        <v>278</v>
      </c>
      <c r="D145" s="250"/>
      <c r="E145" s="178" t="s">
        <v>276</v>
      </c>
      <c r="F145" s="177">
        <v>11</v>
      </c>
      <c r="G145" s="484">
        <v>1100</v>
      </c>
      <c r="H145" s="444">
        <v>0</v>
      </c>
      <c r="I145" s="444">
        <f t="shared" si="19"/>
        <v>12100</v>
      </c>
      <c r="J145" s="444">
        <f t="shared" si="16"/>
        <v>0</v>
      </c>
      <c r="K145" s="444">
        <f t="shared" si="20"/>
        <v>12100</v>
      </c>
      <c r="L145" s="299" t="s">
        <v>279</v>
      </c>
      <c r="M145" s="758"/>
    </row>
    <row r="146" spans="1:34" s="338" customFormat="1" ht="13.5" hidden="1" outlineLevel="1" x14ac:dyDescent="0.25">
      <c r="A146" s="724">
        <f t="shared" si="14"/>
        <v>124</v>
      </c>
      <c r="B146" s="605" t="s">
        <v>594</v>
      </c>
      <c r="C146" s="246" t="s">
        <v>285</v>
      </c>
      <c r="D146" s="246"/>
      <c r="E146" s="247" t="s">
        <v>276</v>
      </c>
      <c r="F146" s="336">
        <v>11</v>
      </c>
      <c r="G146" s="680">
        <v>0</v>
      </c>
      <c r="H146" s="584">
        <v>795</v>
      </c>
      <c r="I146" s="584">
        <f>SUM(I147:I148)</f>
        <v>1643.61</v>
      </c>
      <c r="J146" s="584">
        <f t="shared" si="16"/>
        <v>8745</v>
      </c>
      <c r="K146" s="584">
        <f t="shared" si="20"/>
        <v>10388.61</v>
      </c>
      <c r="L146" s="585"/>
      <c r="M146" s="756" t="s">
        <v>648</v>
      </c>
    </row>
    <row r="147" spans="1:34" s="252" customFormat="1" hidden="1" outlineLevel="2" x14ac:dyDescent="0.25">
      <c r="A147" s="724">
        <f t="shared" si="14"/>
        <v>125</v>
      </c>
      <c r="B147" s="249"/>
      <c r="C147" s="250" t="s">
        <v>286</v>
      </c>
      <c r="D147" s="250"/>
      <c r="E147" s="178" t="s">
        <v>92</v>
      </c>
      <c r="F147" s="178">
        <v>1.7</v>
      </c>
      <c r="G147" s="484">
        <v>276.83</v>
      </c>
      <c r="H147" s="444">
        <v>0</v>
      </c>
      <c r="I147" s="444">
        <f t="shared" si="19"/>
        <v>470.61</v>
      </c>
      <c r="J147" s="444">
        <f t="shared" si="16"/>
        <v>0</v>
      </c>
      <c r="K147" s="444">
        <f t="shared" si="20"/>
        <v>470.61</v>
      </c>
      <c r="L147" s="299" t="s">
        <v>287</v>
      </c>
      <c r="M147" s="757"/>
    </row>
    <row r="148" spans="1:34" s="252" customFormat="1" hidden="1" outlineLevel="2" x14ac:dyDescent="0.25">
      <c r="A148" s="724">
        <f t="shared" si="14"/>
        <v>126</v>
      </c>
      <c r="B148" s="249"/>
      <c r="C148" s="250" t="s">
        <v>288</v>
      </c>
      <c r="D148" s="250"/>
      <c r="E148" s="178" t="s">
        <v>92</v>
      </c>
      <c r="F148" s="178">
        <v>5.0999999999999996</v>
      </c>
      <c r="G148" s="484">
        <v>230</v>
      </c>
      <c r="H148" s="444">
        <v>0</v>
      </c>
      <c r="I148" s="444">
        <f t="shared" si="19"/>
        <v>1173</v>
      </c>
      <c r="J148" s="444">
        <f t="shared" si="16"/>
        <v>0</v>
      </c>
      <c r="K148" s="444">
        <f t="shared" si="20"/>
        <v>1173</v>
      </c>
      <c r="L148" s="299" t="s">
        <v>289</v>
      </c>
      <c r="M148" s="758"/>
    </row>
    <row r="149" spans="1:34" s="338" customFormat="1" ht="13.5" hidden="1" outlineLevel="1" x14ac:dyDescent="0.25">
      <c r="A149" s="724">
        <f t="shared" si="14"/>
        <v>127</v>
      </c>
      <c r="B149" s="605" t="s">
        <v>595</v>
      </c>
      <c r="C149" s="246" t="s">
        <v>290</v>
      </c>
      <c r="D149" s="246"/>
      <c r="E149" s="247" t="s">
        <v>60</v>
      </c>
      <c r="F149" s="247">
        <v>31.4</v>
      </c>
      <c r="G149" s="488">
        <v>0</v>
      </c>
      <c r="H149" s="584">
        <v>19150</v>
      </c>
      <c r="I149" s="584">
        <f>SUM(I150:I152)</f>
        <v>2385966.31</v>
      </c>
      <c r="J149" s="584">
        <f t="shared" si="16"/>
        <v>601310</v>
      </c>
      <c r="K149" s="584">
        <f t="shared" si="20"/>
        <v>2987276.31</v>
      </c>
      <c r="L149" s="349">
        <f>SUM(J150:J152)</f>
        <v>0</v>
      </c>
      <c r="M149" s="337"/>
    </row>
    <row r="150" spans="1:34" s="252" customFormat="1" hidden="1" outlineLevel="2" x14ac:dyDescent="0.25">
      <c r="A150" s="724">
        <f t="shared" si="14"/>
        <v>128</v>
      </c>
      <c r="B150" s="249"/>
      <c r="C150" s="250" t="s">
        <v>291</v>
      </c>
      <c r="D150" s="250"/>
      <c r="E150" s="178" t="s">
        <v>60</v>
      </c>
      <c r="F150" s="178">
        <v>31.4</v>
      </c>
      <c r="G150" s="484">
        <v>8308.2900000000009</v>
      </c>
      <c r="H150" s="444">
        <v>0</v>
      </c>
      <c r="I150" s="444">
        <f t="shared" si="19"/>
        <v>260880.31</v>
      </c>
      <c r="J150" s="444">
        <f t="shared" si="16"/>
        <v>0</v>
      </c>
      <c r="K150" s="444">
        <f t="shared" si="20"/>
        <v>260880.31</v>
      </c>
      <c r="L150" s="299" t="s">
        <v>292</v>
      </c>
      <c r="M150" s="193"/>
    </row>
    <row r="151" spans="1:34" s="252" customFormat="1" hidden="1" outlineLevel="2" x14ac:dyDescent="0.25">
      <c r="A151" s="724">
        <f t="shared" si="14"/>
        <v>129</v>
      </c>
      <c r="B151" s="249"/>
      <c r="C151" s="250" t="s">
        <v>293</v>
      </c>
      <c r="D151" s="250"/>
      <c r="E151" s="178" t="s">
        <v>0</v>
      </c>
      <c r="F151" s="177">
        <v>307</v>
      </c>
      <c r="G151" s="484">
        <v>6870</v>
      </c>
      <c r="H151" s="444">
        <v>0</v>
      </c>
      <c r="I151" s="444">
        <f t="shared" si="19"/>
        <v>2109090</v>
      </c>
      <c r="J151" s="444">
        <f t="shared" si="16"/>
        <v>0</v>
      </c>
      <c r="K151" s="444">
        <f t="shared" si="20"/>
        <v>2109090</v>
      </c>
      <c r="L151" s="299"/>
      <c r="M151" s="193"/>
    </row>
    <row r="152" spans="1:34" s="252" customFormat="1" hidden="1" outlineLevel="2" x14ac:dyDescent="0.25">
      <c r="A152" s="724">
        <f t="shared" si="14"/>
        <v>130</v>
      </c>
      <c r="B152" s="249"/>
      <c r="C152" s="250" t="s">
        <v>294</v>
      </c>
      <c r="D152" s="250"/>
      <c r="E152" s="178" t="s">
        <v>295</v>
      </c>
      <c r="F152" s="177">
        <v>1.86</v>
      </c>
      <c r="G152" s="484">
        <v>8600</v>
      </c>
      <c r="H152" s="444">
        <v>0</v>
      </c>
      <c r="I152" s="444">
        <f t="shared" si="19"/>
        <v>15996</v>
      </c>
      <c r="J152" s="444">
        <f t="shared" si="16"/>
        <v>0</v>
      </c>
      <c r="K152" s="444">
        <f t="shared" si="20"/>
        <v>15996</v>
      </c>
      <c r="L152" s="299" t="s">
        <v>296</v>
      </c>
      <c r="M152" s="193"/>
    </row>
    <row r="153" spans="1:34" s="63" customFormat="1" ht="13.5" collapsed="1" x14ac:dyDescent="0.25">
      <c r="A153" s="724">
        <f t="shared" ref="A153:A216" si="21">A152+1</f>
        <v>131</v>
      </c>
      <c r="B153" s="602" t="s">
        <v>46</v>
      </c>
      <c r="C153" s="380" t="s">
        <v>678</v>
      </c>
      <c r="D153" s="380"/>
      <c r="E153" s="385" t="s">
        <v>573</v>
      </c>
      <c r="F153" s="386">
        <v>1</v>
      </c>
      <c r="G153" s="445">
        <f>G154+G189</f>
        <v>514080.29</v>
      </c>
      <c r="H153" s="445">
        <f>H154+H189</f>
        <v>263159</v>
      </c>
      <c r="I153" s="445">
        <f>I154+I189</f>
        <v>1015386.95</v>
      </c>
      <c r="J153" s="445">
        <f>J154+J189</f>
        <v>457533.1</v>
      </c>
      <c r="K153" s="458">
        <f>SUM(I153:J153)</f>
        <v>1472920.05</v>
      </c>
      <c r="L153" s="387"/>
      <c r="M153" s="65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</row>
    <row r="154" spans="1:34" s="338" customFormat="1" ht="13.5" hidden="1" outlineLevel="1" x14ac:dyDescent="0.25">
      <c r="A154" s="724">
        <f t="shared" si="21"/>
        <v>132</v>
      </c>
      <c r="B154" s="604" t="s">
        <v>377</v>
      </c>
      <c r="C154" s="130" t="s">
        <v>679</v>
      </c>
      <c r="D154" s="130"/>
      <c r="E154" s="138" t="s">
        <v>45</v>
      </c>
      <c r="F154" s="348">
        <v>2</v>
      </c>
      <c r="G154" s="460">
        <f>SUM(G155:G188)</f>
        <v>367280.31</v>
      </c>
      <c r="H154" s="460">
        <f>SUM(H155:H188)</f>
        <v>164384</v>
      </c>
      <c r="I154" s="460">
        <f>SUMIF(G155:G188,G155,I155:I188)</f>
        <v>809144.27</v>
      </c>
      <c r="J154" s="460">
        <f>SUMIF(G155:G188,G155,J155:J188)</f>
        <v>358758.1</v>
      </c>
      <c r="K154" s="460">
        <f>SUM(I154:J154)</f>
        <v>1167902.3700000001</v>
      </c>
      <c r="L154" s="300"/>
      <c r="M154" s="337"/>
    </row>
    <row r="155" spans="1:34" s="338" customFormat="1" ht="13.5" hidden="1" outlineLevel="2" x14ac:dyDescent="0.25">
      <c r="A155" s="724">
        <f t="shared" si="21"/>
        <v>133</v>
      </c>
      <c r="B155" s="605"/>
      <c r="C155" s="246" t="s">
        <v>298</v>
      </c>
      <c r="D155" s="246"/>
      <c r="E155" s="247" t="s">
        <v>45</v>
      </c>
      <c r="F155" s="336">
        <v>2</v>
      </c>
      <c r="G155" s="488">
        <v>0</v>
      </c>
      <c r="H155" s="584">
        <v>115200</v>
      </c>
      <c r="I155" s="584">
        <f>I156</f>
        <v>576000</v>
      </c>
      <c r="J155" s="584">
        <f t="shared" ref="J155" si="22">H155*F155</f>
        <v>230400</v>
      </c>
      <c r="K155" s="584">
        <f>SUM(I155:J155)</f>
        <v>806400</v>
      </c>
      <c r="L155" s="349"/>
      <c r="M155" s="337"/>
    </row>
    <row r="156" spans="1:34" s="180" customFormat="1" ht="25.5" hidden="1" outlineLevel="2" x14ac:dyDescent="0.25">
      <c r="A156" s="724">
        <f t="shared" si="21"/>
        <v>134</v>
      </c>
      <c r="B156" s="249"/>
      <c r="C156" s="435" t="s">
        <v>299</v>
      </c>
      <c r="D156" s="435"/>
      <c r="E156" s="178" t="s">
        <v>45</v>
      </c>
      <c r="F156" s="177">
        <v>2</v>
      </c>
      <c r="G156" s="461">
        <v>288000</v>
      </c>
      <c r="H156" s="464">
        <v>0</v>
      </c>
      <c r="I156" s="464">
        <f t="shared" ref="I156:I188" si="23">G156*F156</f>
        <v>576000</v>
      </c>
      <c r="J156" s="464">
        <v>0</v>
      </c>
      <c r="K156" s="464">
        <f>SUM(I156:J156)</f>
        <v>576000</v>
      </c>
      <c r="L156" s="299"/>
      <c r="M156" s="179"/>
    </row>
    <row r="157" spans="1:34" s="338" customFormat="1" ht="13.5" hidden="1" outlineLevel="2" x14ac:dyDescent="0.25">
      <c r="A157" s="724">
        <f t="shared" si="21"/>
        <v>135</v>
      </c>
      <c r="B157" s="605"/>
      <c r="C157" s="246" t="s">
        <v>300</v>
      </c>
      <c r="D157" s="246"/>
      <c r="E157" s="247" t="s">
        <v>45</v>
      </c>
      <c r="F157" s="336">
        <v>2</v>
      </c>
      <c r="G157" s="488">
        <v>0</v>
      </c>
      <c r="H157" s="584">
        <v>16330</v>
      </c>
      <c r="I157" s="584">
        <f>I158</f>
        <v>65316</v>
      </c>
      <c r="J157" s="584">
        <f>H157*F157</f>
        <v>32660</v>
      </c>
      <c r="K157" s="584">
        <f t="shared" ref="K157:K188" si="24">SUM(I157:J157)</f>
        <v>97976</v>
      </c>
      <c r="L157" s="349"/>
      <c r="M157" s="337"/>
    </row>
    <row r="158" spans="1:34" s="180" customFormat="1" ht="25.5" hidden="1" outlineLevel="2" x14ac:dyDescent="0.25">
      <c r="A158" s="724">
        <f t="shared" si="21"/>
        <v>136</v>
      </c>
      <c r="B158" s="249"/>
      <c r="C158" s="250" t="s">
        <v>301</v>
      </c>
      <c r="D158" s="250"/>
      <c r="E158" s="178" t="s">
        <v>45</v>
      </c>
      <c r="F158" s="177">
        <v>2</v>
      </c>
      <c r="G158" s="461">
        <v>32658</v>
      </c>
      <c r="H158" s="464">
        <v>0</v>
      </c>
      <c r="I158" s="464">
        <f t="shared" si="23"/>
        <v>65316</v>
      </c>
      <c r="J158" s="464">
        <v>0</v>
      </c>
      <c r="K158" s="464">
        <f t="shared" si="24"/>
        <v>65316</v>
      </c>
      <c r="L158" s="299"/>
      <c r="M158" s="179"/>
    </row>
    <row r="159" spans="1:34" s="338" customFormat="1" ht="13.5" hidden="1" outlineLevel="2" x14ac:dyDescent="0.25">
      <c r="A159" s="724">
        <f t="shared" si="21"/>
        <v>137</v>
      </c>
      <c r="B159" s="605"/>
      <c r="C159" s="246" t="s">
        <v>302</v>
      </c>
      <c r="D159" s="246"/>
      <c r="E159" s="247" t="s">
        <v>276</v>
      </c>
      <c r="F159" s="247">
        <v>4</v>
      </c>
      <c r="G159" s="488">
        <v>0</v>
      </c>
      <c r="H159" s="584">
        <v>645</v>
      </c>
      <c r="I159" s="584">
        <f>I160</f>
        <v>2470</v>
      </c>
      <c r="J159" s="584">
        <f t="shared" ref="J159:J173" si="25">H159*F159</f>
        <v>2580</v>
      </c>
      <c r="K159" s="584">
        <f t="shared" si="24"/>
        <v>5050</v>
      </c>
      <c r="L159" s="349"/>
      <c r="M159" s="337"/>
    </row>
    <row r="160" spans="1:34" s="180" customFormat="1" hidden="1" outlineLevel="2" x14ac:dyDescent="0.25">
      <c r="A160" s="724">
        <f t="shared" si="21"/>
        <v>138</v>
      </c>
      <c r="B160" s="249"/>
      <c r="C160" s="250" t="s">
        <v>303</v>
      </c>
      <c r="D160" s="250"/>
      <c r="E160" s="178" t="s">
        <v>60</v>
      </c>
      <c r="F160" s="523">
        <v>10</v>
      </c>
      <c r="G160" s="461">
        <v>247</v>
      </c>
      <c r="H160" s="464">
        <v>0</v>
      </c>
      <c r="I160" s="464">
        <f t="shared" si="23"/>
        <v>2470</v>
      </c>
      <c r="J160" s="464">
        <f t="shared" si="25"/>
        <v>0</v>
      </c>
      <c r="K160" s="464">
        <f t="shared" si="24"/>
        <v>2470</v>
      </c>
      <c r="L160" s="299"/>
      <c r="M160" s="179"/>
    </row>
    <row r="161" spans="1:13" s="338" customFormat="1" ht="13.5" hidden="1" outlineLevel="2" x14ac:dyDescent="0.25">
      <c r="A161" s="724">
        <f t="shared" si="21"/>
        <v>139</v>
      </c>
      <c r="B161" s="605"/>
      <c r="C161" s="246" t="s">
        <v>304</v>
      </c>
      <c r="D161" s="246"/>
      <c r="E161" s="247" t="s">
        <v>45</v>
      </c>
      <c r="F161" s="336">
        <v>2</v>
      </c>
      <c r="G161" s="488">
        <v>0</v>
      </c>
      <c r="H161" s="584">
        <v>578</v>
      </c>
      <c r="I161" s="584">
        <f>I162</f>
        <v>4630</v>
      </c>
      <c r="J161" s="584">
        <f t="shared" si="25"/>
        <v>1156</v>
      </c>
      <c r="K161" s="584">
        <f t="shared" si="24"/>
        <v>5786</v>
      </c>
      <c r="L161" s="349"/>
      <c r="M161" s="337"/>
    </row>
    <row r="162" spans="1:13" s="180" customFormat="1" hidden="1" outlineLevel="2" x14ac:dyDescent="0.25">
      <c r="A162" s="724">
        <f t="shared" si="21"/>
        <v>140</v>
      </c>
      <c r="B162" s="249"/>
      <c r="C162" s="250" t="s">
        <v>305</v>
      </c>
      <c r="D162" s="250"/>
      <c r="E162" s="178" t="s">
        <v>45</v>
      </c>
      <c r="F162" s="177">
        <v>2</v>
      </c>
      <c r="G162" s="461">
        <v>2315</v>
      </c>
      <c r="H162" s="464">
        <v>0</v>
      </c>
      <c r="I162" s="464">
        <f t="shared" si="23"/>
        <v>4630</v>
      </c>
      <c r="J162" s="464">
        <f t="shared" si="25"/>
        <v>0</v>
      </c>
      <c r="K162" s="464">
        <f t="shared" si="24"/>
        <v>4630</v>
      </c>
      <c r="L162" s="299"/>
      <c r="M162" s="179"/>
    </row>
    <row r="163" spans="1:13" s="338" customFormat="1" ht="13.5" hidden="1" outlineLevel="2" x14ac:dyDescent="0.25">
      <c r="A163" s="724">
        <f t="shared" si="21"/>
        <v>141</v>
      </c>
      <c r="B163" s="605"/>
      <c r="C163" s="246" t="s">
        <v>306</v>
      </c>
      <c r="D163" s="246"/>
      <c r="E163" s="247" t="s">
        <v>45</v>
      </c>
      <c r="F163" s="336">
        <v>2</v>
      </c>
      <c r="G163" s="488">
        <v>0</v>
      </c>
      <c r="H163" s="584">
        <v>3650</v>
      </c>
      <c r="I163" s="584">
        <f>I164</f>
        <v>15900</v>
      </c>
      <c r="J163" s="584">
        <f t="shared" si="25"/>
        <v>7300</v>
      </c>
      <c r="K163" s="584">
        <f t="shared" si="24"/>
        <v>23200</v>
      </c>
      <c r="L163" s="349"/>
      <c r="M163" s="337"/>
    </row>
    <row r="164" spans="1:13" s="180" customFormat="1" hidden="1" outlineLevel="2" x14ac:dyDescent="0.25">
      <c r="A164" s="724">
        <f t="shared" si="21"/>
        <v>142</v>
      </c>
      <c r="B164" s="249"/>
      <c r="C164" s="250" t="s">
        <v>307</v>
      </c>
      <c r="D164" s="250"/>
      <c r="E164" s="178" t="s">
        <v>276</v>
      </c>
      <c r="F164" s="177">
        <v>2</v>
      </c>
      <c r="G164" s="461">
        <v>7950</v>
      </c>
      <c r="H164" s="464">
        <v>0</v>
      </c>
      <c r="I164" s="464">
        <f t="shared" si="23"/>
        <v>15900</v>
      </c>
      <c r="J164" s="464">
        <f t="shared" si="25"/>
        <v>0</v>
      </c>
      <c r="K164" s="464">
        <f t="shared" si="24"/>
        <v>15900</v>
      </c>
      <c r="L164" s="297"/>
      <c r="M164" s="179"/>
    </row>
    <row r="165" spans="1:13" s="338" customFormat="1" ht="13.5" hidden="1" outlineLevel="2" x14ac:dyDescent="0.25">
      <c r="A165" s="724">
        <f t="shared" si="21"/>
        <v>143</v>
      </c>
      <c r="B165" s="605"/>
      <c r="C165" s="246" t="s">
        <v>309</v>
      </c>
      <c r="D165" s="246"/>
      <c r="E165" s="247" t="s">
        <v>45</v>
      </c>
      <c r="F165" s="336">
        <v>11</v>
      </c>
      <c r="G165" s="488">
        <v>0</v>
      </c>
      <c r="H165" s="584">
        <v>1060</v>
      </c>
      <c r="I165" s="584">
        <f>I166</f>
        <v>46695</v>
      </c>
      <c r="J165" s="584">
        <f t="shared" si="25"/>
        <v>11660</v>
      </c>
      <c r="K165" s="584">
        <f t="shared" si="24"/>
        <v>58355</v>
      </c>
      <c r="L165" s="349"/>
      <c r="M165" s="337"/>
    </row>
    <row r="166" spans="1:13" s="180" customFormat="1" hidden="1" outlineLevel="2" x14ac:dyDescent="0.25">
      <c r="A166" s="724">
        <f t="shared" si="21"/>
        <v>144</v>
      </c>
      <c r="B166" s="249"/>
      <c r="C166" s="250" t="s">
        <v>310</v>
      </c>
      <c r="D166" s="250"/>
      <c r="E166" s="178" t="s">
        <v>276</v>
      </c>
      <c r="F166" s="177">
        <v>11</v>
      </c>
      <c r="G166" s="461">
        <v>4245</v>
      </c>
      <c r="H166" s="464">
        <v>0</v>
      </c>
      <c r="I166" s="464">
        <f t="shared" si="23"/>
        <v>46695</v>
      </c>
      <c r="J166" s="464">
        <f t="shared" si="25"/>
        <v>0</v>
      </c>
      <c r="K166" s="464">
        <f t="shared" si="24"/>
        <v>46695</v>
      </c>
      <c r="L166" s="297"/>
      <c r="M166" s="179"/>
    </row>
    <row r="167" spans="1:13" s="338" customFormat="1" ht="13.5" hidden="1" outlineLevel="2" x14ac:dyDescent="0.25">
      <c r="A167" s="724">
        <f t="shared" si="21"/>
        <v>145</v>
      </c>
      <c r="B167" s="605"/>
      <c r="C167" s="246" t="s">
        <v>312</v>
      </c>
      <c r="D167" s="246"/>
      <c r="E167" s="247" t="s">
        <v>45</v>
      </c>
      <c r="F167" s="336">
        <v>4</v>
      </c>
      <c r="G167" s="488">
        <v>0</v>
      </c>
      <c r="H167" s="488">
        <v>1090</v>
      </c>
      <c r="I167" s="584">
        <f>I168</f>
        <v>7140</v>
      </c>
      <c r="J167" s="584">
        <f t="shared" si="25"/>
        <v>4360</v>
      </c>
      <c r="K167" s="584">
        <f t="shared" si="24"/>
        <v>11500</v>
      </c>
      <c r="L167" s="349"/>
      <c r="M167" s="337"/>
    </row>
    <row r="168" spans="1:13" s="180" customFormat="1" hidden="1" outlineLevel="2" x14ac:dyDescent="0.25">
      <c r="A168" s="724">
        <f t="shared" si="21"/>
        <v>146</v>
      </c>
      <c r="B168" s="249"/>
      <c r="C168" s="250" t="s">
        <v>317</v>
      </c>
      <c r="D168" s="250"/>
      <c r="E168" s="178" t="s">
        <v>45</v>
      </c>
      <c r="F168" s="177">
        <v>4</v>
      </c>
      <c r="G168" s="461">
        <v>1785</v>
      </c>
      <c r="H168" s="464">
        <v>0</v>
      </c>
      <c r="I168" s="464">
        <f>G168*F168</f>
        <v>7140</v>
      </c>
      <c r="J168" s="464">
        <f>H168*F168</f>
        <v>0</v>
      </c>
      <c r="K168" s="464">
        <f>SUM(I168:J168)</f>
        <v>7140</v>
      </c>
      <c r="L168" s="299"/>
      <c r="M168" s="179"/>
    </row>
    <row r="169" spans="1:13" s="338" customFormat="1" ht="13.5" hidden="1" outlineLevel="2" x14ac:dyDescent="0.25">
      <c r="A169" s="724">
        <f t="shared" si="21"/>
        <v>147</v>
      </c>
      <c r="B169" s="605"/>
      <c r="C169" s="246" t="s">
        <v>316</v>
      </c>
      <c r="D169" s="246"/>
      <c r="E169" s="247" t="s">
        <v>45</v>
      </c>
      <c r="F169" s="336">
        <v>1</v>
      </c>
      <c r="G169" s="488">
        <v>0</v>
      </c>
      <c r="H169" s="488">
        <v>1090</v>
      </c>
      <c r="I169" s="584">
        <f>I170</f>
        <v>630</v>
      </c>
      <c r="J169" s="584">
        <f t="shared" si="25"/>
        <v>1090</v>
      </c>
      <c r="K169" s="584">
        <f t="shared" si="24"/>
        <v>1720</v>
      </c>
      <c r="L169" s="349"/>
      <c r="M169" s="337"/>
    </row>
    <row r="170" spans="1:13" s="180" customFormat="1" hidden="1" outlineLevel="2" x14ac:dyDescent="0.25">
      <c r="A170" s="724">
        <f t="shared" si="21"/>
        <v>148</v>
      </c>
      <c r="B170" s="249"/>
      <c r="C170" s="250" t="s">
        <v>318</v>
      </c>
      <c r="D170" s="250"/>
      <c r="E170" s="178" t="s">
        <v>45</v>
      </c>
      <c r="F170" s="177">
        <v>1</v>
      </c>
      <c r="G170" s="461">
        <v>630</v>
      </c>
      <c r="H170" s="464">
        <v>0</v>
      </c>
      <c r="I170" s="464">
        <f t="shared" si="23"/>
        <v>630</v>
      </c>
      <c r="J170" s="464">
        <f t="shared" si="25"/>
        <v>0</v>
      </c>
      <c r="K170" s="464">
        <f t="shared" si="24"/>
        <v>630</v>
      </c>
      <c r="L170" s="299"/>
      <c r="M170" s="179"/>
    </row>
    <row r="171" spans="1:13" s="338" customFormat="1" ht="13.5" hidden="1" outlineLevel="2" x14ac:dyDescent="0.25">
      <c r="A171" s="724">
        <f t="shared" si="21"/>
        <v>149</v>
      </c>
      <c r="B171" s="605"/>
      <c r="C171" s="246" t="s">
        <v>320</v>
      </c>
      <c r="D171" s="246"/>
      <c r="E171" s="247" t="s">
        <v>45</v>
      </c>
      <c r="F171" s="336">
        <v>1</v>
      </c>
      <c r="G171" s="488">
        <v>0</v>
      </c>
      <c r="H171" s="488">
        <v>1090</v>
      </c>
      <c r="I171" s="584">
        <f>I172</f>
        <v>1202.75</v>
      </c>
      <c r="J171" s="584">
        <f t="shared" si="25"/>
        <v>1090</v>
      </c>
      <c r="K171" s="584">
        <f t="shared" si="24"/>
        <v>2292.75</v>
      </c>
      <c r="L171" s="349"/>
      <c r="M171" s="337"/>
    </row>
    <row r="172" spans="1:13" s="180" customFormat="1" hidden="1" outlineLevel="2" x14ac:dyDescent="0.25">
      <c r="A172" s="724">
        <f t="shared" si="21"/>
        <v>150</v>
      </c>
      <c r="B172" s="249"/>
      <c r="C172" s="250" t="s">
        <v>321</v>
      </c>
      <c r="D172" s="250"/>
      <c r="E172" s="178" t="s">
        <v>276</v>
      </c>
      <c r="F172" s="177">
        <v>1</v>
      </c>
      <c r="G172" s="461">
        <v>1202.75</v>
      </c>
      <c r="H172" s="464">
        <v>0</v>
      </c>
      <c r="I172" s="464">
        <f t="shared" si="23"/>
        <v>1202.75</v>
      </c>
      <c r="J172" s="464">
        <f t="shared" si="25"/>
        <v>0</v>
      </c>
      <c r="K172" s="464">
        <f t="shared" si="24"/>
        <v>1202.75</v>
      </c>
      <c r="L172" s="297"/>
      <c r="M172" s="179"/>
    </row>
    <row r="173" spans="1:13" s="338" customFormat="1" ht="13.5" hidden="1" outlineLevel="2" x14ac:dyDescent="0.25">
      <c r="A173" s="724">
        <f t="shared" si="21"/>
        <v>151</v>
      </c>
      <c r="B173" s="605"/>
      <c r="C173" s="246" t="s">
        <v>323</v>
      </c>
      <c r="D173" s="246"/>
      <c r="E173" s="247" t="s">
        <v>45</v>
      </c>
      <c r="F173" s="336">
        <v>4</v>
      </c>
      <c r="G173" s="488">
        <v>0</v>
      </c>
      <c r="H173" s="584">
        <v>45</v>
      </c>
      <c r="I173" s="584">
        <f>I174</f>
        <v>289.24</v>
      </c>
      <c r="J173" s="584">
        <f t="shared" si="25"/>
        <v>180</v>
      </c>
      <c r="K173" s="584">
        <f t="shared" si="24"/>
        <v>469.24</v>
      </c>
      <c r="L173" s="349"/>
      <c r="M173" s="337"/>
    </row>
    <row r="174" spans="1:13" s="180" customFormat="1" hidden="1" outlineLevel="2" x14ac:dyDescent="0.25">
      <c r="A174" s="724">
        <f t="shared" si="21"/>
        <v>152</v>
      </c>
      <c r="B174" s="249"/>
      <c r="C174" s="250" t="s">
        <v>324</v>
      </c>
      <c r="D174" s="250"/>
      <c r="E174" s="178" t="s">
        <v>45</v>
      </c>
      <c r="F174" s="177">
        <v>4</v>
      </c>
      <c r="G174" s="461">
        <v>72.31</v>
      </c>
      <c r="H174" s="464">
        <v>0</v>
      </c>
      <c r="I174" s="464">
        <f t="shared" si="23"/>
        <v>289.24</v>
      </c>
      <c r="J174" s="464">
        <v>0</v>
      </c>
      <c r="K174" s="464">
        <f t="shared" si="24"/>
        <v>289.24</v>
      </c>
      <c r="L174" s="299"/>
      <c r="M174" s="179"/>
    </row>
    <row r="175" spans="1:13" s="338" customFormat="1" ht="13.5" hidden="1" outlineLevel="2" x14ac:dyDescent="0.25">
      <c r="A175" s="724">
        <f t="shared" si="21"/>
        <v>153</v>
      </c>
      <c r="B175" s="605"/>
      <c r="C175" s="246" t="s">
        <v>326</v>
      </c>
      <c r="D175" s="246"/>
      <c r="E175" s="247" t="s">
        <v>45</v>
      </c>
      <c r="F175" s="336">
        <v>2</v>
      </c>
      <c r="G175" s="488">
        <v>0</v>
      </c>
      <c r="H175" s="584">
        <v>4500</v>
      </c>
      <c r="I175" s="584">
        <f>I176</f>
        <v>16120</v>
      </c>
      <c r="J175" s="584">
        <f t="shared" ref="J175:J228" si="26">H175*F175</f>
        <v>9000</v>
      </c>
      <c r="K175" s="584">
        <f t="shared" si="24"/>
        <v>25120</v>
      </c>
      <c r="L175" s="349"/>
      <c r="M175" s="337"/>
    </row>
    <row r="176" spans="1:13" s="180" customFormat="1" ht="25.5" hidden="1" outlineLevel="2" x14ac:dyDescent="0.25">
      <c r="A176" s="724">
        <f t="shared" si="21"/>
        <v>154</v>
      </c>
      <c r="B176" s="249"/>
      <c r="C176" s="250" t="s">
        <v>327</v>
      </c>
      <c r="D176" s="250"/>
      <c r="E176" s="178" t="s">
        <v>276</v>
      </c>
      <c r="F176" s="177">
        <v>2</v>
      </c>
      <c r="G176" s="461">
        <v>8060</v>
      </c>
      <c r="H176" s="464">
        <v>0</v>
      </c>
      <c r="I176" s="464">
        <f t="shared" si="23"/>
        <v>16120</v>
      </c>
      <c r="J176" s="464">
        <f t="shared" si="26"/>
        <v>0</v>
      </c>
      <c r="K176" s="464">
        <f t="shared" si="24"/>
        <v>16120</v>
      </c>
      <c r="L176" s="297"/>
      <c r="M176" s="179"/>
    </row>
    <row r="177" spans="1:34" s="338" customFormat="1" ht="13.5" hidden="1" outlineLevel="2" x14ac:dyDescent="0.25">
      <c r="A177" s="724">
        <f t="shared" si="21"/>
        <v>155</v>
      </c>
      <c r="B177" s="605"/>
      <c r="C177" s="246" t="s">
        <v>280</v>
      </c>
      <c r="D177" s="246"/>
      <c r="E177" s="247" t="s">
        <v>45</v>
      </c>
      <c r="F177" s="336">
        <v>1</v>
      </c>
      <c r="G177" s="488">
        <v>0</v>
      </c>
      <c r="H177" s="584">
        <v>14500</v>
      </c>
      <c r="I177" s="584">
        <f>SUM(I178:I180)</f>
        <v>16400</v>
      </c>
      <c r="J177" s="584">
        <f t="shared" si="26"/>
        <v>14500</v>
      </c>
      <c r="K177" s="584">
        <f t="shared" si="24"/>
        <v>30900</v>
      </c>
      <c r="L177" s="349"/>
      <c r="M177" s="756" t="s">
        <v>646</v>
      </c>
    </row>
    <row r="178" spans="1:34" s="180" customFormat="1" hidden="1" outlineLevel="2" x14ac:dyDescent="0.25">
      <c r="A178" s="724">
        <f t="shared" si="21"/>
        <v>156</v>
      </c>
      <c r="B178" s="249"/>
      <c r="C178" s="250" t="s">
        <v>281</v>
      </c>
      <c r="D178" s="250"/>
      <c r="E178" s="178" t="s">
        <v>276</v>
      </c>
      <c r="F178" s="725">
        <v>1</v>
      </c>
      <c r="G178" s="464">
        <v>7950</v>
      </c>
      <c r="H178" s="464">
        <v>0</v>
      </c>
      <c r="I178" s="464">
        <f t="shared" si="23"/>
        <v>7950</v>
      </c>
      <c r="J178" s="464">
        <f t="shared" si="26"/>
        <v>0</v>
      </c>
      <c r="K178" s="464">
        <f t="shared" si="24"/>
        <v>7950</v>
      </c>
      <c r="L178" s="299" t="s">
        <v>282</v>
      </c>
      <c r="M178" s="757"/>
    </row>
    <row r="179" spans="1:34" s="180" customFormat="1" hidden="1" outlineLevel="2" x14ac:dyDescent="0.25">
      <c r="A179" s="724">
        <f t="shared" si="21"/>
        <v>157</v>
      </c>
      <c r="B179" s="249"/>
      <c r="C179" s="250" t="s">
        <v>283</v>
      </c>
      <c r="D179" s="250"/>
      <c r="E179" s="178" t="s">
        <v>276</v>
      </c>
      <c r="F179" s="725">
        <v>1</v>
      </c>
      <c r="G179" s="484">
        <v>5150</v>
      </c>
      <c r="H179" s="464">
        <v>0</v>
      </c>
      <c r="I179" s="464">
        <f t="shared" si="23"/>
        <v>5150</v>
      </c>
      <c r="J179" s="464">
        <f t="shared" si="26"/>
        <v>0</v>
      </c>
      <c r="K179" s="464">
        <f t="shared" si="24"/>
        <v>5150</v>
      </c>
      <c r="L179" s="299" t="s">
        <v>282</v>
      </c>
      <c r="M179" s="757"/>
    </row>
    <row r="180" spans="1:34" s="180" customFormat="1" hidden="1" outlineLevel="2" x14ac:dyDescent="0.25">
      <c r="A180" s="724">
        <f t="shared" si="21"/>
        <v>158</v>
      </c>
      <c r="B180" s="249"/>
      <c r="C180" s="250" t="s">
        <v>284</v>
      </c>
      <c r="D180" s="250"/>
      <c r="E180" s="178" t="s">
        <v>276</v>
      </c>
      <c r="F180" s="725">
        <v>3</v>
      </c>
      <c r="G180" s="484">
        <v>1100</v>
      </c>
      <c r="H180" s="464">
        <v>0</v>
      </c>
      <c r="I180" s="464">
        <f t="shared" si="23"/>
        <v>3300</v>
      </c>
      <c r="J180" s="464">
        <f t="shared" si="26"/>
        <v>0</v>
      </c>
      <c r="K180" s="464">
        <f t="shared" si="24"/>
        <v>3300</v>
      </c>
      <c r="L180" s="299" t="s">
        <v>282</v>
      </c>
      <c r="M180" s="758"/>
    </row>
    <row r="181" spans="1:34" s="338" customFormat="1" ht="13.5" hidden="1" outlineLevel="2" x14ac:dyDescent="0.25">
      <c r="A181" s="724">
        <f t="shared" si="21"/>
        <v>159</v>
      </c>
      <c r="B181" s="605"/>
      <c r="C181" s="246" t="s">
        <v>364</v>
      </c>
      <c r="D181" s="246"/>
      <c r="E181" s="247" t="s">
        <v>60</v>
      </c>
      <c r="F181" s="336">
        <v>30</v>
      </c>
      <c r="G181" s="488">
        <v>0</v>
      </c>
      <c r="H181" s="584">
        <v>175</v>
      </c>
      <c r="I181" s="584">
        <f>I182</f>
        <v>16290</v>
      </c>
      <c r="J181" s="584">
        <f t="shared" si="26"/>
        <v>5250</v>
      </c>
      <c r="K181" s="584">
        <f t="shared" si="24"/>
        <v>21540</v>
      </c>
      <c r="L181" s="349"/>
      <c r="M181" s="337"/>
    </row>
    <row r="182" spans="1:34" s="180" customFormat="1" hidden="1" outlineLevel="2" x14ac:dyDescent="0.25">
      <c r="A182" s="724">
        <f t="shared" si="21"/>
        <v>160</v>
      </c>
      <c r="B182" s="249"/>
      <c r="C182" s="250" t="s">
        <v>365</v>
      </c>
      <c r="D182" s="250"/>
      <c r="E182" s="178" t="s">
        <v>60</v>
      </c>
      <c r="F182" s="178">
        <v>30</v>
      </c>
      <c r="G182" s="484">
        <v>543</v>
      </c>
      <c r="H182" s="464">
        <v>0</v>
      </c>
      <c r="I182" s="464">
        <f t="shared" si="23"/>
        <v>16290</v>
      </c>
      <c r="J182" s="464">
        <f t="shared" si="26"/>
        <v>0</v>
      </c>
      <c r="K182" s="464">
        <f t="shared" si="24"/>
        <v>16290</v>
      </c>
      <c r="L182" s="299" t="s">
        <v>366</v>
      </c>
      <c r="M182" s="179"/>
    </row>
    <row r="183" spans="1:34" s="338" customFormat="1" ht="13.5" hidden="1" outlineLevel="2" x14ac:dyDescent="0.25">
      <c r="A183" s="724">
        <f t="shared" si="21"/>
        <v>161</v>
      </c>
      <c r="B183" s="605"/>
      <c r="C183" s="246" t="s">
        <v>368</v>
      </c>
      <c r="D183" s="246"/>
      <c r="E183" s="247" t="s">
        <v>60</v>
      </c>
      <c r="F183" s="336">
        <v>9.1</v>
      </c>
      <c r="G183" s="488">
        <v>0</v>
      </c>
      <c r="H183" s="584">
        <v>871</v>
      </c>
      <c r="I183" s="584">
        <f>I184</f>
        <v>31697.58</v>
      </c>
      <c r="J183" s="584">
        <f t="shared" si="26"/>
        <v>7926.1</v>
      </c>
      <c r="K183" s="584">
        <f t="shared" si="24"/>
        <v>39623.68</v>
      </c>
      <c r="L183" s="349"/>
      <c r="M183" s="337"/>
    </row>
    <row r="184" spans="1:34" s="180" customFormat="1" hidden="1" outlineLevel="2" x14ac:dyDescent="0.25">
      <c r="A184" s="724">
        <f t="shared" si="21"/>
        <v>162</v>
      </c>
      <c r="B184" s="249"/>
      <c r="C184" s="250" t="s">
        <v>369</v>
      </c>
      <c r="D184" s="250"/>
      <c r="E184" s="178" t="s">
        <v>60</v>
      </c>
      <c r="F184" s="178">
        <v>9.1</v>
      </c>
      <c r="G184" s="484">
        <v>3483.25</v>
      </c>
      <c r="H184" s="637">
        <v>0</v>
      </c>
      <c r="I184" s="464">
        <f t="shared" si="23"/>
        <v>31697.58</v>
      </c>
      <c r="J184" s="464">
        <f t="shared" si="26"/>
        <v>0</v>
      </c>
      <c r="K184" s="464">
        <f t="shared" si="24"/>
        <v>31697.58</v>
      </c>
      <c r="L184" s="299"/>
      <c r="M184" s="179"/>
    </row>
    <row r="185" spans="1:34" s="338" customFormat="1" ht="13.5" hidden="1" outlineLevel="2" x14ac:dyDescent="0.25">
      <c r="A185" s="724">
        <f t="shared" si="21"/>
        <v>163</v>
      </c>
      <c r="B185" s="605"/>
      <c r="C185" s="246" t="s">
        <v>371</v>
      </c>
      <c r="D185" s="246"/>
      <c r="E185" s="247" t="s">
        <v>60</v>
      </c>
      <c r="F185" s="247">
        <v>4</v>
      </c>
      <c r="G185" s="488">
        <v>0</v>
      </c>
      <c r="H185" s="584">
        <v>2780</v>
      </c>
      <c r="I185" s="584">
        <f>I186</f>
        <v>7392</v>
      </c>
      <c r="J185" s="584">
        <f t="shared" si="26"/>
        <v>11120</v>
      </c>
      <c r="K185" s="584">
        <f t="shared" si="24"/>
        <v>18512</v>
      </c>
      <c r="L185" s="349"/>
      <c r="M185" s="337"/>
    </row>
    <row r="186" spans="1:34" s="180" customFormat="1" hidden="1" outlineLevel="2" x14ac:dyDescent="0.25">
      <c r="A186" s="724">
        <f t="shared" si="21"/>
        <v>164</v>
      </c>
      <c r="B186" s="249"/>
      <c r="C186" s="250" t="s">
        <v>372</v>
      </c>
      <c r="D186" s="250"/>
      <c r="E186" s="178" t="s">
        <v>60</v>
      </c>
      <c r="F186" s="178">
        <v>4</v>
      </c>
      <c r="G186" s="484">
        <v>1848</v>
      </c>
      <c r="H186" s="464">
        <v>0</v>
      </c>
      <c r="I186" s="464">
        <f t="shared" si="23"/>
        <v>7392</v>
      </c>
      <c r="J186" s="464">
        <f t="shared" si="26"/>
        <v>0</v>
      </c>
      <c r="K186" s="464">
        <f t="shared" si="24"/>
        <v>7392</v>
      </c>
      <c r="L186" s="299" t="s">
        <v>296</v>
      </c>
      <c r="M186" s="179"/>
    </row>
    <row r="187" spans="1:34" s="338" customFormat="1" ht="13.5" hidden="1" outlineLevel="2" x14ac:dyDescent="0.25">
      <c r="A187" s="724">
        <f t="shared" si="21"/>
        <v>165</v>
      </c>
      <c r="B187" s="605"/>
      <c r="C187" s="246" t="s">
        <v>374</v>
      </c>
      <c r="D187" s="246"/>
      <c r="E187" s="247" t="s">
        <v>89</v>
      </c>
      <c r="F187" s="336">
        <v>23.7</v>
      </c>
      <c r="G187" s="488">
        <v>0</v>
      </c>
      <c r="H187" s="584">
        <v>780</v>
      </c>
      <c r="I187" s="584">
        <f>I188</f>
        <v>971.7</v>
      </c>
      <c r="J187" s="584">
        <f t="shared" si="26"/>
        <v>18486</v>
      </c>
      <c r="K187" s="584">
        <f t="shared" si="24"/>
        <v>19457.7</v>
      </c>
      <c r="L187" s="349"/>
      <c r="M187" s="337"/>
    </row>
    <row r="188" spans="1:34" s="180" customFormat="1" hidden="1" outlineLevel="2" x14ac:dyDescent="0.25">
      <c r="A188" s="724">
        <f t="shared" si="21"/>
        <v>166</v>
      </c>
      <c r="B188" s="249"/>
      <c r="C188" s="250" t="s">
        <v>375</v>
      </c>
      <c r="D188" s="250"/>
      <c r="E188" s="178" t="s">
        <v>89</v>
      </c>
      <c r="F188" s="177">
        <v>23.7</v>
      </c>
      <c r="G188" s="484">
        <v>41</v>
      </c>
      <c r="H188" s="464">
        <v>0</v>
      </c>
      <c r="I188" s="464">
        <f t="shared" si="23"/>
        <v>971.7</v>
      </c>
      <c r="J188" s="464">
        <f t="shared" si="26"/>
        <v>0</v>
      </c>
      <c r="K188" s="464">
        <f t="shared" si="24"/>
        <v>971.7</v>
      </c>
      <c r="L188" s="299"/>
      <c r="M188" s="179"/>
    </row>
    <row r="189" spans="1:34" s="63" customFormat="1" hidden="1" outlineLevel="1" x14ac:dyDescent="0.25">
      <c r="A189" s="724">
        <f t="shared" si="21"/>
        <v>167</v>
      </c>
      <c r="B189" s="120" t="s">
        <v>379</v>
      </c>
      <c r="C189" s="130" t="s">
        <v>329</v>
      </c>
      <c r="D189" s="130"/>
      <c r="E189" s="138" t="s">
        <v>54</v>
      </c>
      <c r="F189" s="121">
        <v>1</v>
      </c>
      <c r="G189" s="460">
        <f>SUM(G190:G219)</f>
        <v>146799.98000000001</v>
      </c>
      <c r="H189" s="460">
        <v>98775</v>
      </c>
      <c r="I189" s="460">
        <f>SUM(I190:I219)</f>
        <v>206242.68</v>
      </c>
      <c r="J189" s="460">
        <f t="shared" si="26"/>
        <v>98775</v>
      </c>
      <c r="K189" s="460">
        <f>SUM(I189:J189)</f>
        <v>305017.68</v>
      </c>
      <c r="L189" s="300" t="s">
        <v>330</v>
      </c>
      <c r="M189" s="65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8"/>
      <c r="AC189" s="338"/>
      <c r="AD189" s="338"/>
      <c r="AE189" s="338"/>
      <c r="AF189" s="338"/>
      <c r="AG189" s="338"/>
      <c r="AH189" s="338"/>
    </row>
    <row r="190" spans="1:34" s="180" customFormat="1" hidden="1" outlineLevel="2" x14ac:dyDescent="0.25">
      <c r="A190" s="724">
        <f t="shared" si="21"/>
        <v>168</v>
      </c>
      <c r="B190" s="249"/>
      <c r="C190" s="250" t="s">
        <v>305</v>
      </c>
      <c r="D190" s="250"/>
      <c r="E190" s="178" t="s">
        <v>45</v>
      </c>
      <c r="F190" s="177">
        <v>2</v>
      </c>
      <c r="G190" s="461">
        <v>2315</v>
      </c>
      <c r="H190" s="464">
        <v>0</v>
      </c>
      <c r="I190" s="464">
        <f t="shared" ref="I190:I219" si="27">G190*F190</f>
        <v>4630</v>
      </c>
      <c r="J190" s="464">
        <f t="shared" si="26"/>
        <v>0</v>
      </c>
      <c r="K190" s="464">
        <f>SUM(I190:J190)</f>
        <v>4630</v>
      </c>
      <c r="L190" s="299"/>
      <c r="M190" s="179"/>
    </row>
    <row r="191" spans="1:34" s="180" customFormat="1" hidden="1" outlineLevel="2" x14ac:dyDescent="0.25">
      <c r="A191" s="724">
        <f t="shared" si="21"/>
        <v>169</v>
      </c>
      <c r="B191" s="249"/>
      <c r="C191" s="250" t="s">
        <v>331</v>
      </c>
      <c r="D191" s="250"/>
      <c r="E191" s="178" t="s">
        <v>45</v>
      </c>
      <c r="F191" s="177">
        <v>1</v>
      </c>
      <c r="G191" s="461">
        <v>20358</v>
      </c>
      <c r="H191" s="464">
        <v>0</v>
      </c>
      <c r="I191" s="464">
        <f t="shared" si="27"/>
        <v>20358</v>
      </c>
      <c r="J191" s="464">
        <f t="shared" si="26"/>
        <v>0</v>
      </c>
      <c r="K191" s="464">
        <f t="shared" ref="K191:K219" si="28">SUM(I191:J191)</f>
        <v>20358</v>
      </c>
      <c r="L191" s="299" t="s">
        <v>1290</v>
      </c>
      <c r="M191" s="179"/>
    </row>
    <row r="192" spans="1:34" s="180" customFormat="1" hidden="1" outlineLevel="2" x14ac:dyDescent="0.25">
      <c r="A192" s="724">
        <f t="shared" si="21"/>
        <v>170</v>
      </c>
      <c r="B192" s="249"/>
      <c r="C192" s="250" t="s">
        <v>332</v>
      </c>
      <c r="D192" s="250"/>
      <c r="E192" s="178" t="s">
        <v>45</v>
      </c>
      <c r="F192" s="469">
        <v>1</v>
      </c>
      <c r="G192" s="461">
        <v>1532</v>
      </c>
      <c r="H192" s="464">
        <v>0</v>
      </c>
      <c r="I192" s="464">
        <f t="shared" si="27"/>
        <v>1532</v>
      </c>
      <c r="J192" s="464">
        <f t="shared" si="26"/>
        <v>0</v>
      </c>
      <c r="K192" s="464">
        <f t="shared" si="28"/>
        <v>1532</v>
      </c>
      <c r="L192" s="299" t="s">
        <v>333</v>
      </c>
      <c r="M192" s="179"/>
    </row>
    <row r="193" spans="1:13" s="180" customFormat="1" hidden="1" outlineLevel="2" x14ac:dyDescent="0.25">
      <c r="A193" s="724">
        <f t="shared" si="21"/>
        <v>171</v>
      </c>
      <c r="B193" s="249"/>
      <c r="C193" s="250" t="s">
        <v>334</v>
      </c>
      <c r="D193" s="250"/>
      <c r="E193" s="178" t="s">
        <v>45</v>
      </c>
      <c r="F193" s="177">
        <v>1</v>
      </c>
      <c r="G193" s="461">
        <v>1132</v>
      </c>
      <c r="H193" s="464">
        <v>0</v>
      </c>
      <c r="I193" s="464">
        <f t="shared" si="27"/>
        <v>1132</v>
      </c>
      <c r="J193" s="464">
        <f t="shared" si="26"/>
        <v>0</v>
      </c>
      <c r="K193" s="464">
        <f t="shared" si="28"/>
        <v>1132</v>
      </c>
      <c r="L193" s="299"/>
      <c r="M193" s="179"/>
    </row>
    <row r="194" spans="1:13" s="180" customFormat="1" hidden="1" outlineLevel="2" x14ac:dyDescent="0.25">
      <c r="A194" s="724">
        <f t="shared" si="21"/>
        <v>172</v>
      </c>
      <c r="B194" s="249"/>
      <c r="C194" s="250" t="s">
        <v>335</v>
      </c>
      <c r="D194" s="250"/>
      <c r="E194" s="178" t="s">
        <v>45</v>
      </c>
      <c r="F194" s="177">
        <v>1</v>
      </c>
      <c r="G194" s="461">
        <v>1475.25</v>
      </c>
      <c r="H194" s="464">
        <v>0</v>
      </c>
      <c r="I194" s="464">
        <f t="shared" si="27"/>
        <v>1475.25</v>
      </c>
      <c r="J194" s="464">
        <f t="shared" si="26"/>
        <v>0</v>
      </c>
      <c r="K194" s="464">
        <f t="shared" si="28"/>
        <v>1475.25</v>
      </c>
      <c r="L194" s="299"/>
      <c r="M194" s="179"/>
    </row>
    <row r="195" spans="1:13" s="180" customFormat="1" hidden="1" outlineLevel="2" x14ac:dyDescent="0.25">
      <c r="A195" s="724">
        <f t="shared" si="21"/>
        <v>173</v>
      </c>
      <c r="B195" s="249"/>
      <c r="C195" s="250" t="s">
        <v>336</v>
      </c>
      <c r="D195" s="250"/>
      <c r="E195" s="178" t="s">
        <v>45</v>
      </c>
      <c r="F195" s="177">
        <v>1</v>
      </c>
      <c r="G195" s="461">
        <v>3450</v>
      </c>
      <c r="H195" s="464">
        <v>0</v>
      </c>
      <c r="I195" s="464">
        <f t="shared" si="27"/>
        <v>3450</v>
      </c>
      <c r="J195" s="464">
        <f t="shared" si="26"/>
        <v>0</v>
      </c>
      <c r="K195" s="464">
        <f t="shared" si="28"/>
        <v>3450</v>
      </c>
      <c r="L195" s="299"/>
      <c r="M195" s="179"/>
    </row>
    <row r="196" spans="1:13" s="180" customFormat="1" hidden="1" outlineLevel="2" x14ac:dyDescent="0.25">
      <c r="A196" s="724">
        <f t="shared" si="21"/>
        <v>174</v>
      </c>
      <c r="B196" s="249"/>
      <c r="C196" s="250" t="s">
        <v>337</v>
      </c>
      <c r="D196" s="250"/>
      <c r="E196" s="178" t="s">
        <v>45</v>
      </c>
      <c r="F196" s="177">
        <v>1</v>
      </c>
      <c r="G196" s="464">
        <v>87000</v>
      </c>
      <c r="H196" s="464">
        <v>0</v>
      </c>
      <c r="I196" s="464">
        <f t="shared" si="27"/>
        <v>87000</v>
      </c>
      <c r="J196" s="464">
        <f t="shared" si="26"/>
        <v>0</v>
      </c>
      <c r="K196" s="464">
        <f t="shared" si="28"/>
        <v>87000</v>
      </c>
      <c r="L196" s="299"/>
      <c r="M196" s="179"/>
    </row>
    <row r="197" spans="1:13" s="180" customFormat="1" hidden="1" outlineLevel="2" x14ac:dyDescent="0.25">
      <c r="A197" s="724">
        <f t="shared" si="21"/>
        <v>175</v>
      </c>
      <c r="B197" s="249"/>
      <c r="C197" s="250" t="s">
        <v>338</v>
      </c>
      <c r="D197" s="250"/>
      <c r="E197" s="178" t="s">
        <v>45</v>
      </c>
      <c r="F197" s="177">
        <v>1</v>
      </c>
      <c r="G197" s="461">
        <v>2100</v>
      </c>
      <c r="H197" s="464">
        <v>0</v>
      </c>
      <c r="I197" s="464">
        <f t="shared" si="27"/>
        <v>2100</v>
      </c>
      <c r="J197" s="464">
        <f t="shared" si="26"/>
        <v>0</v>
      </c>
      <c r="K197" s="464">
        <f t="shared" si="28"/>
        <v>2100</v>
      </c>
      <c r="L197" s="299" t="s">
        <v>333</v>
      </c>
      <c r="M197" s="179"/>
    </row>
    <row r="198" spans="1:13" s="180" customFormat="1" hidden="1" outlineLevel="2" x14ac:dyDescent="0.25">
      <c r="A198" s="724">
        <f t="shared" si="21"/>
        <v>176</v>
      </c>
      <c r="B198" s="249"/>
      <c r="C198" s="250" t="s">
        <v>339</v>
      </c>
      <c r="D198" s="250"/>
      <c r="E198" s="178" t="s">
        <v>45</v>
      </c>
      <c r="F198" s="177">
        <v>1</v>
      </c>
      <c r="G198" s="461">
        <v>280.2</v>
      </c>
      <c r="H198" s="464">
        <v>0</v>
      </c>
      <c r="I198" s="464">
        <f t="shared" si="27"/>
        <v>280.2</v>
      </c>
      <c r="J198" s="464">
        <f t="shared" si="26"/>
        <v>0</v>
      </c>
      <c r="K198" s="464">
        <f t="shared" si="28"/>
        <v>280.2</v>
      </c>
      <c r="L198" s="299"/>
      <c r="M198" s="179"/>
    </row>
    <row r="199" spans="1:13" s="180" customFormat="1" hidden="1" outlineLevel="2" x14ac:dyDescent="0.25">
      <c r="A199" s="724">
        <f t="shared" si="21"/>
        <v>177</v>
      </c>
      <c r="B199" s="249"/>
      <c r="C199" s="250" t="s">
        <v>340</v>
      </c>
      <c r="D199" s="250"/>
      <c r="E199" s="178" t="s">
        <v>45</v>
      </c>
      <c r="F199" s="177">
        <v>1</v>
      </c>
      <c r="G199" s="461">
        <v>99.7</v>
      </c>
      <c r="H199" s="464">
        <v>0</v>
      </c>
      <c r="I199" s="464">
        <f t="shared" si="27"/>
        <v>99.7</v>
      </c>
      <c r="J199" s="464">
        <f t="shared" si="26"/>
        <v>0</v>
      </c>
      <c r="K199" s="464">
        <f t="shared" si="28"/>
        <v>99.7</v>
      </c>
      <c r="L199" s="299"/>
      <c r="M199" s="179"/>
    </row>
    <row r="200" spans="1:13" s="180" customFormat="1" hidden="1" outlineLevel="2" x14ac:dyDescent="0.25">
      <c r="A200" s="724">
        <f t="shared" si="21"/>
        <v>178</v>
      </c>
      <c r="B200" s="249"/>
      <c r="C200" s="250" t="s">
        <v>341</v>
      </c>
      <c r="D200" s="250"/>
      <c r="E200" s="178" t="s">
        <v>45</v>
      </c>
      <c r="F200" s="177">
        <v>1</v>
      </c>
      <c r="G200" s="461">
        <v>160</v>
      </c>
      <c r="H200" s="464">
        <v>0</v>
      </c>
      <c r="I200" s="464">
        <f t="shared" si="27"/>
        <v>160</v>
      </c>
      <c r="J200" s="464">
        <f t="shared" si="26"/>
        <v>0</v>
      </c>
      <c r="K200" s="464">
        <f t="shared" si="28"/>
        <v>160</v>
      </c>
      <c r="L200" s="299"/>
      <c r="M200" s="179"/>
    </row>
    <row r="201" spans="1:13" s="180" customFormat="1" hidden="1" outlineLevel="2" x14ac:dyDescent="0.25">
      <c r="A201" s="724">
        <f t="shared" si="21"/>
        <v>179</v>
      </c>
      <c r="B201" s="249"/>
      <c r="C201" s="250" t="s">
        <v>342</v>
      </c>
      <c r="D201" s="250"/>
      <c r="E201" s="178" t="s">
        <v>45</v>
      </c>
      <c r="F201" s="177">
        <v>4</v>
      </c>
      <c r="G201" s="461">
        <v>1046.22</v>
      </c>
      <c r="H201" s="464">
        <v>0</v>
      </c>
      <c r="I201" s="464">
        <f t="shared" si="27"/>
        <v>4184.88</v>
      </c>
      <c r="J201" s="464">
        <f t="shared" si="26"/>
        <v>0</v>
      </c>
      <c r="K201" s="464">
        <f t="shared" si="28"/>
        <v>4184.88</v>
      </c>
      <c r="L201" s="299"/>
      <c r="M201" s="179"/>
    </row>
    <row r="202" spans="1:13" s="180" customFormat="1" hidden="1" outlineLevel="2" x14ac:dyDescent="0.25">
      <c r="A202" s="724">
        <f t="shared" si="21"/>
        <v>180</v>
      </c>
      <c r="B202" s="249"/>
      <c r="C202" s="250" t="s">
        <v>343</v>
      </c>
      <c r="D202" s="250"/>
      <c r="E202" s="178" t="s">
        <v>45</v>
      </c>
      <c r="F202" s="177">
        <v>4</v>
      </c>
      <c r="G202" s="461">
        <v>2280</v>
      </c>
      <c r="H202" s="464">
        <v>0</v>
      </c>
      <c r="I202" s="464">
        <f t="shared" si="27"/>
        <v>9120</v>
      </c>
      <c r="J202" s="464">
        <f t="shared" si="26"/>
        <v>0</v>
      </c>
      <c r="K202" s="464">
        <f t="shared" si="28"/>
        <v>9120</v>
      </c>
      <c r="L202" s="299"/>
      <c r="M202" s="179"/>
    </row>
    <row r="203" spans="1:13" s="180" customFormat="1" hidden="1" outlineLevel="2" x14ac:dyDescent="0.25">
      <c r="A203" s="724">
        <f t="shared" si="21"/>
        <v>181</v>
      </c>
      <c r="B203" s="249"/>
      <c r="C203" s="250" t="s">
        <v>344</v>
      </c>
      <c r="D203" s="250"/>
      <c r="E203" s="178" t="s">
        <v>45</v>
      </c>
      <c r="F203" s="177">
        <v>1</v>
      </c>
      <c r="G203" s="461">
        <v>68</v>
      </c>
      <c r="H203" s="464">
        <v>0</v>
      </c>
      <c r="I203" s="464">
        <f t="shared" si="27"/>
        <v>68</v>
      </c>
      <c r="J203" s="464">
        <f t="shared" si="26"/>
        <v>0</v>
      </c>
      <c r="K203" s="464">
        <f t="shared" si="28"/>
        <v>68</v>
      </c>
      <c r="L203" s="299"/>
      <c r="M203" s="179"/>
    </row>
    <row r="204" spans="1:13" s="180" customFormat="1" hidden="1" outlineLevel="2" x14ac:dyDescent="0.25">
      <c r="A204" s="724">
        <f t="shared" si="21"/>
        <v>182</v>
      </c>
      <c r="B204" s="249"/>
      <c r="C204" s="250" t="s">
        <v>345</v>
      </c>
      <c r="D204" s="250"/>
      <c r="E204" s="178" t="s">
        <v>45</v>
      </c>
      <c r="F204" s="177">
        <v>1</v>
      </c>
      <c r="G204" s="461">
        <v>312</v>
      </c>
      <c r="H204" s="464">
        <v>0</v>
      </c>
      <c r="I204" s="464">
        <f t="shared" si="27"/>
        <v>312</v>
      </c>
      <c r="J204" s="464">
        <f t="shared" si="26"/>
        <v>0</v>
      </c>
      <c r="K204" s="464">
        <f t="shared" si="28"/>
        <v>312</v>
      </c>
      <c r="L204" s="299"/>
      <c r="M204" s="179"/>
    </row>
    <row r="205" spans="1:13" s="180" customFormat="1" hidden="1" outlineLevel="2" x14ac:dyDescent="0.25">
      <c r="A205" s="724">
        <f t="shared" si="21"/>
        <v>183</v>
      </c>
      <c r="B205" s="249"/>
      <c r="C205" s="250" t="s">
        <v>346</v>
      </c>
      <c r="D205" s="250"/>
      <c r="E205" s="178" t="s">
        <v>45</v>
      </c>
      <c r="F205" s="177">
        <v>4</v>
      </c>
      <c r="G205" s="461">
        <v>10617</v>
      </c>
      <c r="H205" s="464">
        <v>0</v>
      </c>
      <c r="I205" s="464">
        <f t="shared" si="27"/>
        <v>42468</v>
      </c>
      <c r="J205" s="464">
        <f t="shared" si="26"/>
        <v>0</v>
      </c>
      <c r="K205" s="464">
        <f t="shared" si="28"/>
        <v>42468</v>
      </c>
      <c r="L205" s="299"/>
      <c r="M205" s="179"/>
    </row>
    <row r="206" spans="1:13" s="180" customFormat="1" ht="25.5" hidden="1" outlineLevel="2" x14ac:dyDescent="0.25">
      <c r="A206" s="724">
        <f t="shared" si="21"/>
        <v>184</v>
      </c>
      <c r="B206" s="249"/>
      <c r="C206" s="250" t="s">
        <v>347</v>
      </c>
      <c r="D206" s="250"/>
      <c r="E206" s="178" t="s">
        <v>60</v>
      </c>
      <c r="F206" s="177">
        <v>2</v>
      </c>
      <c r="G206" s="461">
        <v>65.8</v>
      </c>
      <c r="H206" s="464">
        <v>0</v>
      </c>
      <c r="I206" s="464">
        <f t="shared" si="27"/>
        <v>131.6</v>
      </c>
      <c r="J206" s="464">
        <f t="shared" si="26"/>
        <v>0</v>
      </c>
      <c r="K206" s="464">
        <f t="shared" si="28"/>
        <v>131.6</v>
      </c>
      <c r="L206" s="299" t="s">
        <v>333</v>
      </c>
      <c r="M206" s="179"/>
    </row>
    <row r="207" spans="1:13" s="180" customFormat="1" ht="25.5" hidden="1" outlineLevel="2" x14ac:dyDescent="0.25">
      <c r="A207" s="724">
        <f t="shared" si="21"/>
        <v>185</v>
      </c>
      <c r="B207" s="249"/>
      <c r="C207" s="250" t="s">
        <v>348</v>
      </c>
      <c r="D207" s="250"/>
      <c r="E207" s="178" t="s">
        <v>60</v>
      </c>
      <c r="F207" s="177">
        <v>2</v>
      </c>
      <c r="G207" s="461">
        <v>65.8</v>
      </c>
      <c r="H207" s="464">
        <v>0</v>
      </c>
      <c r="I207" s="464">
        <f t="shared" si="27"/>
        <v>131.6</v>
      </c>
      <c r="J207" s="464">
        <f t="shared" si="26"/>
        <v>0</v>
      </c>
      <c r="K207" s="464">
        <f t="shared" si="28"/>
        <v>131.6</v>
      </c>
      <c r="L207" s="299"/>
      <c r="M207" s="179"/>
    </row>
    <row r="208" spans="1:13" s="180" customFormat="1" hidden="1" outlineLevel="2" x14ac:dyDescent="0.25">
      <c r="A208" s="724">
        <f t="shared" si="21"/>
        <v>186</v>
      </c>
      <c r="B208" s="249"/>
      <c r="C208" s="250" t="s">
        <v>349</v>
      </c>
      <c r="D208" s="250"/>
      <c r="E208" s="178" t="s">
        <v>60</v>
      </c>
      <c r="F208" s="177">
        <v>20</v>
      </c>
      <c r="G208" s="461">
        <v>179</v>
      </c>
      <c r="H208" s="464">
        <v>0</v>
      </c>
      <c r="I208" s="464">
        <f t="shared" si="27"/>
        <v>3580</v>
      </c>
      <c r="J208" s="464">
        <f t="shared" si="26"/>
        <v>0</v>
      </c>
      <c r="K208" s="464">
        <f t="shared" si="28"/>
        <v>3580</v>
      </c>
      <c r="L208" s="299" t="s">
        <v>350</v>
      </c>
      <c r="M208" s="179"/>
    </row>
    <row r="209" spans="1:34" s="180" customFormat="1" hidden="1" outlineLevel="2" x14ac:dyDescent="0.25">
      <c r="A209" s="724">
        <f t="shared" si="21"/>
        <v>187</v>
      </c>
      <c r="B209" s="249"/>
      <c r="C209" s="250" t="s">
        <v>351</v>
      </c>
      <c r="D209" s="250"/>
      <c r="E209" s="178" t="s">
        <v>60</v>
      </c>
      <c r="F209" s="177">
        <v>20</v>
      </c>
      <c r="G209" s="461">
        <v>86</v>
      </c>
      <c r="H209" s="464">
        <v>0</v>
      </c>
      <c r="I209" s="464">
        <f t="shared" si="27"/>
        <v>1720</v>
      </c>
      <c r="J209" s="464">
        <f t="shared" si="26"/>
        <v>0</v>
      </c>
      <c r="K209" s="464">
        <f t="shared" si="28"/>
        <v>1720</v>
      </c>
      <c r="L209" s="299"/>
      <c r="M209" s="179"/>
    </row>
    <row r="210" spans="1:34" s="180" customFormat="1" hidden="1" outlineLevel="2" x14ac:dyDescent="0.25">
      <c r="A210" s="724">
        <f t="shared" si="21"/>
        <v>188</v>
      </c>
      <c r="B210" s="249"/>
      <c r="C210" s="250" t="s">
        <v>352</v>
      </c>
      <c r="D210" s="250"/>
      <c r="E210" s="178" t="s">
        <v>276</v>
      </c>
      <c r="F210" s="177">
        <v>1</v>
      </c>
      <c r="G210" s="461">
        <v>825</v>
      </c>
      <c r="H210" s="464">
        <v>0</v>
      </c>
      <c r="I210" s="464">
        <f t="shared" si="27"/>
        <v>825</v>
      </c>
      <c r="J210" s="464">
        <f t="shared" si="26"/>
        <v>0</v>
      </c>
      <c r="K210" s="464">
        <f t="shared" si="28"/>
        <v>825</v>
      </c>
      <c r="L210" s="299"/>
      <c r="M210" s="179"/>
    </row>
    <row r="211" spans="1:34" s="180" customFormat="1" hidden="1" outlineLevel="2" x14ac:dyDescent="0.25">
      <c r="A211" s="724">
        <f t="shared" si="21"/>
        <v>189</v>
      </c>
      <c r="B211" s="249"/>
      <c r="C211" s="250" t="s">
        <v>353</v>
      </c>
      <c r="D211" s="250"/>
      <c r="E211" s="178" t="s">
        <v>276</v>
      </c>
      <c r="F211" s="177">
        <v>1</v>
      </c>
      <c r="G211" s="461">
        <v>128</v>
      </c>
      <c r="H211" s="464">
        <v>0</v>
      </c>
      <c r="I211" s="464">
        <f t="shared" si="27"/>
        <v>128</v>
      </c>
      <c r="J211" s="464">
        <f t="shared" si="26"/>
        <v>0</v>
      </c>
      <c r="K211" s="464">
        <f t="shared" si="28"/>
        <v>128</v>
      </c>
      <c r="L211" s="299"/>
      <c r="M211" s="179"/>
    </row>
    <row r="212" spans="1:34" s="180" customFormat="1" hidden="1" outlineLevel="2" x14ac:dyDescent="0.25">
      <c r="A212" s="724">
        <f t="shared" si="21"/>
        <v>190</v>
      </c>
      <c r="B212" s="249"/>
      <c r="C212" s="250" t="s">
        <v>354</v>
      </c>
      <c r="D212" s="250"/>
      <c r="E212" s="178" t="s">
        <v>276</v>
      </c>
      <c r="F212" s="177">
        <v>1</v>
      </c>
      <c r="G212" s="461">
        <v>302</v>
      </c>
      <c r="H212" s="464">
        <v>0</v>
      </c>
      <c r="I212" s="464">
        <f t="shared" si="27"/>
        <v>302</v>
      </c>
      <c r="J212" s="464">
        <f t="shared" si="26"/>
        <v>0</v>
      </c>
      <c r="K212" s="464">
        <f t="shared" si="28"/>
        <v>302</v>
      </c>
      <c r="L212" s="299"/>
      <c r="M212" s="179"/>
    </row>
    <row r="213" spans="1:34" s="180" customFormat="1" hidden="1" outlineLevel="2" x14ac:dyDescent="0.25">
      <c r="A213" s="724">
        <f t="shared" si="21"/>
        <v>191</v>
      </c>
      <c r="B213" s="249"/>
      <c r="C213" s="250" t="s">
        <v>355</v>
      </c>
      <c r="D213" s="250"/>
      <c r="E213" s="178" t="s">
        <v>60</v>
      </c>
      <c r="F213" s="177">
        <v>20</v>
      </c>
      <c r="G213" s="461">
        <v>122.76</v>
      </c>
      <c r="H213" s="464">
        <v>0</v>
      </c>
      <c r="I213" s="464">
        <f t="shared" si="27"/>
        <v>2455.1999999999998</v>
      </c>
      <c r="J213" s="464">
        <f t="shared" si="26"/>
        <v>0</v>
      </c>
      <c r="K213" s="464">
        <f t="shared" si="28"/>
        <v>2455.1999999999998</v>
      </c>
      <c r="L213" s="299"/>
      <c r="M213" s="179"/>
    </row>
    <row r="214" spans="1:34" s="180" customFormat="1" hidden="1" outlineLevel="2" x14ac:dyDescent="0.25">
      <c r="A214" s="724">
        <f t="shared" si="21"/>
        <v>192</v>
      </c>
      <c r="B214" s="249"/>
      <c r="C214" s="250" t="s">
        <v>356</v>
      </c>
      <c r="D214" s="250"/>
      <c r="E214" s="178" t="s">
        <v>276</v>
      </c>
      <c r="F214" s="177">
        <v>20</v>
      </c>
      <c r="G214" s="461">
        <v>34</v>
      </c>
      <c r="H214" s="464">
        <v>0</v>
      </c>
      <c r="I214" s="464">
        <f t="shared" si="27"/>
        <v>680</v>
      </c>
      <c r="J214" s="464">
        <f t="shared" si="26"/>
        <v>0</v>
      </c>
      <c r="K214" s="464">
        <f t="shared" si="28"/>
        <v>680</v>
      </c>
      <c r="L214" s="299"/>
      <c r="M214" s="179"/>
    </row>
    <row r="215" spans="1:34" s="180" customFormat="1" hidden="1" outlineLevel="2" x14ac:dyDescent="0.25">
      <c r="A215" s="724">
        <f t="shared" si="21"/>
        <v>193</v>
      </c>
      <c r="B215" s="249"/>
      <c r="C215" s="250" t="s">
        <v>357</v>
      </c>
      <c r="D215" s="250"/>
      <c r="E215" s="178" t="s">
        <v>276</v>
      </c>
      <c r="F215" s="177">
        <v>10</v>
      </c>
      <c r="G215" s="461">
        <v>49</v>
      </c>
      <c r="H215" s="464">
        <v>0</v>
      </c>
      <c r="I215" s="464">
        <f t="shared" si="27"/>
        <v>490</v>
      </c>
      <c r="J215" s="464">
        <f t="shared" si="26"/>
        <v>0</v>
      </c>
      <c r="K215" s="464">
        <f t="shared" si="28"/>
        <v>490</v>
      </c>
      <c r="L215" s="299"/>
      <c r="M215" s="179"/>
    </row>
    <row r="216" spans="1:34" s="180" customFormat="1" hidden="1" outlineLevel="2" x14ac:dyDescent="0.25">
      <c r="A216" s="724">
        <f t="shared" si="21"/>
        <v>194</v>
      </c>
      <c r="B216" s="249"/>
      <c r="C216" s="250" t="s">
        <v>358</v>
      </c>
      <c r="D216" s="250"/>
      <c r="E216" s="178" t="s">
        <v>276</v>
      </c>
      <c r="F216" s="177">
        <v>1</v>
      </c>
      <c r="G216" s="461">
        <v>1957</v>
      </c>
      <c r="H216" s="464">
        <v>0</v>
      </c>
      <c r="I216" s="464">
        <f t="shared" si="27"/>
        <v>1957</v>
      </c>
      <c r="J216" s="464">
        <f t="shared" si="26"/>
        <v>0</v>
      </c>
      <c r="K216" s="464">
        <f t="shared" si="28"/>
        <v>1957</v>
      </c>
      <c r="L216" s="299"/>
      <c r="M216" s="179"/>
    </row>
    <row r="217" spans="1:34" s="180" customFormat="1" hidden="1" outlineLevel="2" x14ac:dyDescent="0.25">
      <c r="A217" s="724">
        <f t="shared" ref="A217:A280" si="29">A216+1</f>
        <v>195</v>
      </c>
      <c r="B217" s="249"/>
      <c r="C217" s="250" t="s">
        <v>359</v>
      </c>
      <c r="D217" s="250"/>
      <c r="E217" s="178" t="s">
        <v>276</v>
      </c>
      <c r="F217" s="177">
        <v>12</v>
      </c>
      <c r="G217" s="461">
        <v>54</v>
      </c>
      <c r="H217" s="464">
        <v>0</v>
      </c>
      <c r="I217" s="464">
        <f t="shared" si="27"/>
        <v>648</v>
      </c>
      <c r="J217" s="464">
        <f t="shared" si="26"/>
        <v>0</v>
      </c>
      <c r="K217" s="464">
        <f t="shared" si="28"/>
        <v>648</v>
      </c>
      <c r="L217" s="299"/>
      <c r="M217" s="179"/>
    </row>
    <row r="218" spans="1:34" s="180" customFormat="1" hidden="1" outlineLevel="2" x14ac:dyDescent="0.25">
      <c r="A218" s="724">
        <f t="shared" si="29"/>
        <v>196</v>
      </c>
      <c r="B218" s="249"/>
      <c r="C218" s="250" t="s">
        <v>360</v>
      </c>
      <c r="D218" s="250"/>
      <c r="E218" s="178" t="s">
        <v>60</v>
      </c>
      <c r="F218" s="177">
        <v>20</v>
      </c>
      <c r="G218" s="461">
        <v>322</v>
      </c>
      <c r="H218" s="464">
        <v>0</v>
      </c>
      <c r="I218" s="464">
        <f t="shared" si="27"/>
        <v>6440</v>
      </c>
      <c r="J218" s="464">
        <f t="shared" si="26"/>
        <v>0</v>
      </c>
      <c r="K218" s="464">
        <f t="shared" si="28"/>
        <v>6440</v>
      </c>
      <c r="L218" s="299"/>
      <c r="M218" s="179"/>
    </row>
    <row r="219" spans="1:34" s="180" customFormat="1" ht="25.5" hidden="1" outlineLevel="2" x14ac:dyDescent="0.25">
      <c r="A219" s="724">
        <f t="shared" si="29"/>
        <v>197</v>
      </c>
      <c r="B219" s="249"/>
      <c r="C219" s="250" t="s">
        <v>361</v>
      </c>
      <c r="D219" s="250"/>
      <c r="E219" s="178" t="s">
        <v>276</v>
      </c>
      <c r="F219" s="177">
        <v>1</v>
      </c>
      <c r="G219" s="461">
        <v>8384.25</v>
      </c>
      <c r="H219" s="464">
        <v>0</v>
      </c>
      <c r="I219" s="464">
        <f t="shared" si="27"/>
        <v>8384.25</v>
      </c>
      <c r="J219" s="464">
        <f t="shared" si="26"/>
        <v>0</v>
      </c>
      <c r="K219" s="464">
        <f t="shared" si="28"/>
        <v>8384.25</v>
      </c>
      <c r="L219" s="299" t="s">
        <v>362</v>
      </c>
      <c r="M219" s="179"/>
    </row>
    <row r="220" spans="1:34" s="63" customFormat="1" ht="13.5" collapsed="1" x14ac:dyDescent="0.25">
      <c r="A220" s="724">
        <f t="shared" si="29"/>
        <v>198</v>
      </c>
      <c r="B220" s="602" t="s">
        <v>74</v>
      </c>
      <c r="C220" s="380" t="s">
        <v>715</v>
      </c>
      <c r="D220" s="380"/>
      <c r="E220" s="423" t="s">
        <v>0</v>
      </c>
      <c r="F220" s="424">
        <f>F225</f>
        <v>4996</v>
      </c>
      <c r="G220" s="445">
        <f>I220/F220</f>
        <v>16089.51</v>
      </c>
      <c r="H220" s="445">
        <f>J220/F220</f>
        <v>10273.08</v>
      </c>
      <c r="I220" s="445">
        <f>SUM(I221:I226)</f>
        <v>80383186.379999995</v>
      </c>
      <c r="J220" s="445">
        <f>J227+J251+J274+J289</f>
        <v>51324317.700000003</v>
      </c>
      <c r="K220" s="458">
        <f>K227+K251+K274+K289</f>
        <v>131707504.08</v>
      </c>
      <c r="L220" s="715"/>
      <c r="M220" s="65"/>
      <c r="N220" s="338"/>
      <c r="O220" s="338"/>
      <c r="P220" s="338"/>
      <c r="Q220" s="338"/>
      <c r="R220" s="338"/>
      <c r="S220" s="338"/>
      <c r="T220" s="338"/>
      <c r="U220" s="338"/>
      <c r="V220" s="338"/>
      <c r="W220" s="338"/>
      <c r="X220" s="338"/>
      <c r="Y220" s="338"/>
      <c r="Z220" s="338"/>
      <c r="AA220" s="338"/>
      <c r="AB220" s="338"/>
      <c r="AC220" s="338"/>
      <c r="AD220" s="338"/>
      <c r="AE220" s="338"/>
      <c r="AF220" s="338"/>
      <c r="AG220" s="338"/>
      <c r="AH220" s="338"/>
    </row>
    <row r="221" spans="1:34" s="558" customFormat="1" ht="13.5" hidden="1" outlineLevel="1" x14ac:dyDescent="0.25">
      <c r="A221" s="724">
        <f t="shared" si="29"/>
        <v>199</v>
      </c>
      <c r="B221" s="605"/>
      <c r="C221" s="335" t="s">
        <v>707</v>
      </c>
      <c r="D221" s="335"/>
      <c r="E221" s="336" t="s">
        <v>33</v>
      </c>
      <c r="F221" s="404">
        <f>F239+F263</f>
        <v>0.01</v>
      </c>
      <c r="G221" s="526"/>
      <c r="H221" s="700"/>
      <c r="I221" s="700">
        <f>SUMIF(C228:C305,C239,I228:I305)</f>
        <v>584.9</v>
      </c>
      <c r="J221" s="700">
        <v>0</v>
      </c>
      <c r="K221" s="700">
        <f t="shared" ref="K221:K226" si="30">SUM(I221:J221)</f>
        <v>584.9</v>
      </c>
      <c r="L221" s="557"/>
      <c r="M221" s="327"/>
    </row>
    <row r="222" spans="1:34" s="558" customFormat="1" ht="13.5" hidden="1" outlineLevel="1" x14ac:dyDescent="0.25">
      <c r="A222" s="724">
        <f t="shared" si="29"/>
        <v>200</v>
      </c>
      <c r="B222" s="605"/>
      <c r="C222" s="335" t="s">
        <v>708</v>
      </c>
      <c r="D222" s="335"/>
      <c r="E222" s="336" t="s">
        <v>33</v>
      </c>
      <c r="F222" s="405">
        <f>F238+F262+F281+F296-F221</f>
        <v>661.77</v>
      </c>
      <c r="G222" s="526"/>
      <c r="H222" s="700"/>
      <c r="I222" s="700">
        <f>SUM(I240:I248,I264:I271,I282:I286,I297:I303)</f>
        <v>36955561.700000003</v>
      </c>
      <c r="J222" s="700">
        <v>0</v>
      </c>
      <c r="K222" s="700">
        <f t="shared" si="30"/>
        <v>36955561.700000003</v>
      </c>
      <c r="L222" s="557"/>
      <c r="M222" s="327"/>
    </row>
    <row r="223" spans="1:34" s="558" customFormat="1" ht="13.5" hidden="1" outlineLevel="1" x14ac:dyDescent="0.25">
      <c r="A223" s="724">
        <f t="shared" si="29"/>
        <v>201</v>
      </c>
      <c r="B223" s="605"/>
      <c r="C223" s="335" t="s">
        <v>384</v>
      </c>
      <c r="D223" s="335"/>
      <c r="E223" s="336" t="s">
        <v>0</v>
      </c>
      <c r="F223" s="405">
        <f>F230+F254+F277+F292</f>
        <v>294</v>
      </c>
      <c r="G223" s="526"/>
      <c r="H223" s="700"/>
      <c r="I223" s="700">
        <f>SUMIF(C228:C305,C231,I228:I305)</f>
        <v>2019780</v>
      </c>
      <c r="J223" s="700">
        <v>0</v>
      </c>
      <c r="K223" s="700">
        <f t="shared" si="30"/>
        <v>2019780</v>
      </c>
      <c r="L223" s="557"/>
      <c r="M223" s="327"/>
    </row>
    <row r="224" spans="1:34" s="558" customFormat="1" ht="13.5" hidden="1" outlineLevel="1" x14ac:dyDescent="0.25">
      <c r="A224" s="724">
        <f t="shared" si="29"/>
        <v>202</v>
      </c>
      <c r="B224" s="605"/>
      <c r="C224" s="335" t="s">
        <v>716</v>
      </c>
      <c r="D224" s="335"/>
      <c r="E224" s="336" t="s">
        <v>0</v>
      </c>
      <c r="F224" s="405">
        <f>F228+F252+F275+F290</f>
        <v>591</v>
      </c>
      <c r="G224" s="526"/>
      <c r="H224" s="700"/>
      <c r="I224" s="700">
        <f>SUMIF(C227:C305,C229,I227:I305)</f>
        <v>3271185</v>
      </c>
      <c r="J224" s="700">
        <v>0</v>
      </c>
      <c r="K224" s="700">
        <f t="shared" si="30"/>
        <v>3271185</v>
      </c>
      <c r="L224" s="557"/>
      <c r="M224" s="327"/>
    </row>
    <row r="225" spans="1:34" s="558" customFormat="1" ht="13.5" hidden="1" outlineLevel="1" x14ac:dyDescent="0.2">
      <c r="A225" s="724">
        <f t="shared" si="29"/>
        <v>203</v>
      </c>
      <c r="B225" s="606"/>
      <c r="C225" s="335" t="s">
        <v>414</v>
      </c>
      <c r="D225" s="335"/>
      <c r="E225" s="336" t="s">
        <v>0</v>
      </c>
      <c r="F225" s="405">
        <f>F249+F272+F287+F304</f>
        <v>4996</v>
      </c>
      <c r="G225" s="714"/>
      <c r="H225" s="700"/>
      <c r="I225" s="700">
        <f>SUMIF(C227:C305,C250,I227:I305)</f>
        <v>37345100</v>
      </c>
      <c r="J225" s="700">
        <v>0</v>
      </c>
      <c r="K225" s="700">
        <f t="shared" si="30"/>
        <v>37345100</v>
      </c>
      <c r="L225" s="557"/>
      <c r="M225" s="327"/>
    </row>
    <row r="226" spans="1:34" s="558" customFormat="1" ht="13.5" hidden="1" outlineLevel="1" collapsed="1" x14ac:dyDescent="0.2">
      <c r="A226" s="724">
        <f t="shared" si="29"/>
        <v>204</v>
      </c>
      <c r="B226" s="717"/>
      <c r="C226" s="335" t="s">
        <v>1307</v>
      </c>
      <c r="D226" s="335"/>
      <c r="E226" s="336" t="s">
        <v>390</v>
      </c>
      <c r="F226" s="405">
        <f>F232+F256+F279+F294</f>
        <v>534</v>
      </c>
      <c r="G226" s="714"/>
      <c r="H226" s="700"/>
      <c r="I226" s="526">
        <f>I232+I256+I279+I294</f>
        <v>790974.78</v>
      </c>
      <c r="J226" s="526">
        <v>0</v>
      </c>
      <c r="K226" s="700">
        <f t="shared" si="30"/>
        <v>790974.78</v>
      </c>
      <c r="L226" s="557"/>
      <c r="M226" s="327"/>
    </row>
    <row r="227" spans="1:34" s="63" customFormat="1" ht="13.5" hidden="1" outlineLevel="1" x14ac:dyDescent="0.25">
      <c r="A227" s="724">
        <f t="shared" si="29"/>
        <v>205</v>
      </c>
      <c r="B227" s="610" t="s">
        <v>711</v>
      </c>
      <c r="C227" s="393" t="s">
        <v>376</v>
      </c>
      <c r="D227" s="393"/>
      <c r="E227" s="119"/>
      <c r="F227" s="393"/>
      <c r="G227" s="460"/>
      <c r="H227" s="460"/>
      <c r="I227" s="460">
        <f>SUMIF(G228:G250,G228,I228:I250)</f>
        <v>33083179.52</v>
      </c>
      <c r="J227" s="460">
        <f>SUMIF(G228:G250,G228,J228:J250)</f>
        <v>20819476</v>
      </c>
      <c r="K227" s="710">
        <f t="shared" ref="K227:K288" si="31">SUM(I227:J227)</f>
        <v>53902655.520000003</v>
      </c>
      <c r="L227" s="300"/>
      <c r="M227" s="65"/>
      <c r="N227" s="716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</row>
    <row r="228" spans="1:34" s="338" customFormat="1" ht="13.5" hidden="1" outlineLevel="1" x14ac:dyDescent="0.25">
      <c r="A228" s="724">
        <f t="shared" si="29"/>
        <v>206</v>
      </c>
      <c r="B228" s="614"/>
      <c r="C228" s="529" t="s">
        <v>670</v>
      </c>
      <c r="D228" s="529"/>
      <c r="E228" s="336" t="s">
        <v>0</v>
      </c>
      <c r="F228" s="306">
        <f>F229</f>
        <v>175</v>
      </c>
      <c r="G228" s="488">
        <v>0</v>
      </c>
      <c r="H228" s="584">
        <v>5600</v>
      </c>
      <c r="I228" s="584">
        <f>I229</f>
        <v>968625</v>
      </c>
      <c r="J228" s="584">
        <f t="shared" si="26"/>
        <v>980000</v>
      </c>
      <c r="K228" s="700">
        <f t="shared" si="31"/>
        <v>1948625</v>
      </c>
      <c r="L228" s="349"/>
      <c r="M228" s="337"/>
      <c r="N228" s="716"/>
    </row>
    <row r="229" spans="1:34" s="252" customFormat="1" hidden="1" outlineLevel="2" x14ac:dyDescent="0.2">
      <c r="A229" s="724">
        <f t="shared" si="29"/>
        <v>207</v>
      </c>
      <c r="B229" s="185"/>
      <c r="C229" s="191" t="s">
        <v>662</v>
      </c>
      <c r="D229" s="191"/>
      <c r="E229" s="177" t="s">
        <v>0</v>
      </c>
      <c r="F229" s="181">
        <v>175</v>
      </c>
      <c r="G229" s="712">
        <v>5535</v>
      </c>
      <c r="H229" s="444">
        <v>0</v>
      </c>
      <c r="I229" s="444">
        <f t="shared" ref="I229:I250" si="32">G229*F229</f>
        <v>968625</v>
      </c>
      <c r="J229" s="444">
        <v>0</v>
      </c>
      <c r="K229" s="713">
        <f t="shared" si="31"/>
        <v>968625</v>
      </c>
      <c r="L229" s="299"/>
      <c r="M229" s="193"/>
    </row>
    <row r="230" spans="1:34" s="338" customFormat="1" ht="13.5" hidden="1" outlineLevel="1" x14ac:dyDescent="0.25">
      <c r="A230" s="724">
        <f t="shared" si="29"/>
        <v>208</v>
      </c>
      <c r="B230" s="608"/>
      <c r="C230" s="529" t="s">
        <v>383</v>
      </c>
      <c r="D230" s="529"/>
      <c r="E230" s="336" t="s">
        <v>0</v>
      </c>
      <c r="F230" s="306">
        <f>F231</f>
        <v>85</v>
      </c>
      <c r="G230" s="488">
        <v>0</v>
      </c>
      <c r="H230" s="584">
        <v>5600</v>
      </c>
      <c r="I230" s="584">
        <f>I231</f>
        <v>583950</v>
      </c>
      <c r="J230" s="584">
        <f>H230*F230</f>
        <v>476000</v>
      </c>
      <c r="K230" s="700">
        <f t="shared" si="31"/>
        <v>1059950</v>
      </c>
      <c r="L230" s="349"/>
      <c r="M230" s="337"/>
    </row>
    <row r="231" spans="1:34" s="180" customFormat="1" hidden="1" outlineLevel="2" x14ac:dyDescent="0.25">
      <c r="A231" s="724">
        <f t="shared" si="29"/>
        <v>209</v>
      </c>
      <c r="B231" s="185"/>
      <c r="C231" s="250" t="s">
        <v>293</v>
      </c>
      <c r="D231" s="250"/>
      <c r="E231" s="177" t="s">
        <v>0</v>
      </c>
      <c r="F231" s="181">
        <v>85</v>
      </c>
      <c r="G231" s="484">
        <v>6870</v>
      </c>
      <c r="H231" s="464">
        <v>0</v>
      </c>
      <c r="I231" s="464">
        <f t="shared" si="32"/>
        <v>583950</v>
      </c>
      <c r="J231" s="464">
        <f>H231*F231</f>
        <v>0</v>
      </c>
      <c r="K231" s="556">
        <f t="shared" si="31"/>
        <v>583950</v>
      </c>
      <c r="L231" s="297"/>
      <c r="M231" s="179"/>
    </row>
    <row r="232" spans="1:34" s="338" customFormat="1" ht="25.5" hidden="1" outlineLevel="1" x14ac:dyDescent="0.25">
      <c r="A232" s="724">
        <f t="shared" si="29"/>
        <v>210</v>
      </c>
      <c r="B232" s="608"/>
      <c r="C232" s="529" t="s">
        <v>387</v>
      </c>
      <c r="D232" s="529"/>
      <c r="E232" s="696" t="s">
        <v>390</v>
      </c>
      <c r="F232" s="306">
        <v>205</v>
      </c>
      <c r="G232" s="584">
        <v>0</v>
      </c>
      <c r="H232" s="584">
        <v>1725</v>
      </c>
      <c r="I232" s="584">
        <f>SUM(I233:I237)</f>
        <v>428908.88</v>
      </c>
      <c r="J232" s="584">
        <f>H232*F232</f>
        <v>353625</v>
      </c>
      <c r="K232" s="700">
        <f t="shared" si="31"/>
        <v>782533.88</v>
      </c>
      <c r="L232" s="349"/>
      <c r="M232" s="337"/>
    </row>
    <row r="233" spans="1:34" s="180" customFormat="1" hidden="1" outlineLevel="2" x14ac:dyDescent="0.25">
      <c r="A233" s="724">
        <f t="shared" si="29"/>
        <v>211</v>
      </c>
      <c r="B233" s="185"/>
      <c r="C233" s="191" t="s">
        <v>389</v>
      </c>
      <c r="D233" s="191"/>
      <c r="E233" s="177" t="s">
        <v>390</v>
      </c>
      <c r="F233" s="181">
        <v>205</v>
      </c>
      <c r="G233" s="464">
        <v>1390</v>
      </c>
      <c r="H233" s="464">
        <v>0</v>
      </c>
      <c r="I233" s="464">
        <f t="shared" si="32"/>
        <v>284950</v>
      </c>
      <c r="J233" s="464">
        <v>0</v>
      </c>
      <c r="K233" s="556">
        <f t="shared" si="31"/>
        <v>284950</v>
      </c>
      <c r="L233" s="297"/>
      <c r="M233" s="179"/>
    </row>
    <row r="234" spans="1:34" s="180" customFormat="1" hidden="1" outlineLevel="2" x14ac:dyDescent="0.25">
      <c r="A234" s="724">
        <f t="shared" si="29"/>
        <v>212</v>
      </c>
      <c r="B234" s="185"/>
      <c r="C234" s="191" t="s">
        <v>391</v>
      </c>
      <c r="D234" s="191"/>
      <c r="E234" s="177" t="s">
        <v>390</v>
      </c>
      <c r="F234" s="181">
        <v>50</v>
      </c>
      <c r="G234" s="464">
        <v>633</v>
      </c>
      <c r="H234" s="461">
        <v>0</v>
      </c>
      <c r="I234" s="464">
        <f t="shared" si="32"/>
        <v>31650</v>
      </c>
      <c r="J234" s="464">
        <v>0</v>
      </c>
      <c r="K234" s="556">
        <f t="shared" si="31"/>
        <v>31650</v>
      </c>
      <c r="L234" s="297"/>
      <c r="M234" s="179"/>
    </row>
    <row r="235" spans="1:34" s="180" customFormat="1" hidden="1" outlineLevel="2" x14ac:dyDescent="0.25">
      <c r="A235" s="724">
        <f t="shared" si="29"/>
        <v>213</v>
      </c>
      <c r="B235" s="185"/>
      <c r="C235" s="191" t="s">
        <v>392</v>
      </c>
      <c r="D235" s="191"/>
      <c r="E235" s="177" t="s">
        <v>92</v>
      </c>
      <c r="F235" s="181">
        <v>0.2</v>
      </c>
      <c r="G235" s="464">
        <v>445</v>
      </c>
      <c r="H235" s="464">
        <v>0</v>
      </c>
      <c r="I235" s="464">
        <f t="shared" si="32"/>
        <v>89</v>
      </c>
      <c r="J235" s="464">
        <v>0</v>
      </c>
      <c r="K235" s="556">
        <f t="shared" si="31"/>
        <v>89</v>
      </c>
      <c r="L235" s="297"/>
      <c r="M235" s="179"/>
    </row>
    <row r="236" spans="1:34" s="180" customFormat="1" hidden="1" outlineLevel="2" x14ac:dyDescent="0.25">
      <c r="A236" s="724">
        <f t="shared" si="29"/>
        <v>214</v>
      </c>
      <c r="B236" s="185"/>
      <c r="C236" s="191" t="s">
        <v>393</v>
      </c>
      <c r="D236" s="191"/>
      <c r="E236" s="177" t="s">
        <v>390</v>
      </c>
      <c r="F236" s="181">
        <v>205</v>
      </c>
      <c r="G236" s="464">
        <v>23</v>
      </c>
      <c r="H236" s="464">
        <v>0</v>
      </c>
      <c r="I236" s="464">
        <f t="shared" si="32"/>
        <v>4715</v>
      </c>
      <c r="J236" s="464">
        <v>0</v>
      </c>
      <c r="K236" s="556">
        <f t="shared" si="31"/>
        <v>4715</v>
      </c>
      <c r="L236" s="299" t="s">
        <v>394</v>
      </c>
      <c r="M236" s="179"/>
    </row>
    <row r="237" spans="1:34" s="180" customFormat="1" hidden="1" outlineLevel="2" x14ac:dyDescent="0.25">
      <c r="A237" s="724">
        <f t="shared" si="29"/>
        <v>215</v>
      </c>
      <c r="B237" s="185"/>
      <c r="C237" s="191" t="s">
        <v>395</v>
      </c>
      <c r="D237" s="191"/>
      <c r="E237" s="177" t="s">
        <v>0</v>
      </c>
      <c r="F237" s="181">
        <v>7.12</v>
      </c>
      <c r="G237" s="464">
        <v>15099</v>
      </c>
      <c r="H237" s="464">
        <v>0</v>
      </c>
      <c r="I237" s="464">
        <f t="shared" si="32"/>
        <v>107504.88</v>
      </c>
      <c r="J237" s="464">
        <v>0</v>
      </c>
      <c r="K237" s="556">
        <f t="shared" si="31"/>
        <v>107504.88</v>
      </c>
      <c r="L237" s="299" t="s">
        <v>396</v>
      </c>
      <c r="M237" s="179"/>
    </row>
    <row r="238" spans="1:34" s="338" customFormat="1" ht="13.5" hidden="1" outlineLevel="1" x14ac:dyDescent="0.25">
      <c r="A238" s="724">
        <f t="shared" si="29"/>
        <v>216</v>
      </c>
      <c r="B238" s="608"/>
      <c r="C238" s="529" t="s">
        <v>660</v>
      </c>
      <c r="D238" s="529"/>
      <c r="E238" s="336" t="s">
        <v>33</v>
      </c>
      <c r="F238" s="306">
        <f>SUM(F239:F248)</f>
        <v>286.79000000000002</v>
      </c>
      <c r="G238" s="488">
        <v>0</v>
      </c>
      <c r="H238" s="584">
        <v>26900</v>
      </c>
      <c r="I238" s="584">
        <f>SUM(I239:I248)</f>
        <v>16024620.640000001</v>
      </c>
      <c r="J238" s="584">
        <f>H238*F238</f>
        <v>7714651</v>
      </c>
      <c r="K238" s="700">
        <f t="shared" si="31"/>
        <v>23739271.640000001</v>
      </c>
      <c r="L238" s="531"/>
      <c r="M238" s="753" t="s">
        <v>628</v>
      </c>
    </row>
    <row r="239" spans="1:34" s="180" customFormat="1" hidden="1" outlineLevel="2" x14ac:dyDescent="0.25">
      <c r="A239" s="724">
        <f t="shared" si="29"/>
        <v>217</v>
      </c>
      <c r="B239" s="185"/>
      <c r="C239" s="191" t="s">
        <v>399</v>
      </c>
      <c r="D239" s="191"/>
      <c r="E239" s="177" t="s">
        <v>33</v>
      </c>
      <c r="F239" s="532">
        <f>5.95/1000</f>
        <v>6.0000000000000001E-3</v>
      </c>
      <c r="G239" s="464">
        <v>58490</v>
      </c>
      <c r="H239" s="464">
        <v>0</v>
      </c>
      <c r="I239" s="464">
        <f>G239*F239</f>
        <v>350.94</v>
      </c>
      <c r="J239" s="464">
        <v>0</v>
      </c>
      <c r="K239" s="556">
        <f t="shared" si="31"/>
        <v>350.94</v>
      </c>
      <c r="L239" s="299"/>
      <c r="M239" s="754"/>
    </row>
    <row r="240" spans="1:34" s="180" customFormat="1" hidden="1" outlineLevel="2" x14ac:dyDescent="0.25">
      <c r="A240" s="724">
        <f t="shared" si="29"/>
        <v>218</v>
      </c>
      <c r="B240" s="185"/>
      <c r="C240" s="191" t="s">
        <v>401</v>
      </c>
      <c r="D240" s="191"/>
      <c r="E240" s="177" t="s">
        <v>33</v>
      </c>
      <c r="F240" s="532">
        <f>29728.5/1000</f>
        <v>29.728999999999999</v>
      </c>
      <c r="G240" s="464">
        <v>58150</v>
      </c>
      <c r="H240" s="464">
        <v>0</v>
      </c>
      <c r="I240" s="464">
        <f t="shared" si="32"/>
        <v>1728741.35</v>
      </c>
      <c r="J240" s="464">
        <v>0</v>
      </c>
      <c r="K240" s="556">
        <f t="shared" si="31"/>
        <v>1728741.35</v>
      </c>
      <c r="L240" s="299"/>
      <c r="M240" s="754"/>
    </row>
    <row r="241" spans="1:34" s="180" customFormat="1" hidden="1" outlineLevel="2" x14ac:dyDescent="0.25">
      <c r="A241" s="724">
        <f t="shared" si="29"/>
        <v>219</v>
      </c>
      <c r="B241" s="185"/>
      <c r="C241" s="533" t="s">
        <v>426</v>
      </c>
      <c r="D241" s="533"/>
      <c r="E241" s="177" t="s">
        <v>33</v>
      </c>
      <c r="F241" s="532">
        <f>14838.48/1000</f>
        <v>14.837999999999999</v>
      </c>
      <c r="G241" s="461">
        <v>58900</v>
      </c>
      <c r="H241" s="464">
        <v>0</v>
      </c>
      <c r="I241" s="464">
        <f t="shared" si="32"/>
        <v>873958.2</v>
      </c>
      <c r="J241" s="464">
        <v>0</v>
      </c>
      <c r="K241" s="556">
        <f t="shared" si="31"/>
        <v>873958.2</v>
      </c>
      <c r="L241" s="299"/>
      <c r="M241" s="754"/>
    </row>
    <row r="242" spans="1:34" s="180" customFormat="1" hidden="1" outlineLevel="2" x14ac:dyDescent="0.25">
      <c r="A242" s="724">
        <f t="shared" si="29"/>
        <v>220</v>
      </c>
      <c r="B242" s="185"/>
      <c r="C242" s="176" t="s">
        <v>427</v>
      </c>
      <c r="D242" s="176"/>
      <c r="E242" s="177" t="s">
        <v>33</v>
      </c>
      <c r="F242" s="532">
        <f>6934.41/1000</f>
        <v>6.9340000000000002</v>
      </c>
      <c r="G242" s="461">
        <v>55350</v>
      </c>
      <c r="H242" s="464">
        <v>0</v>
      </c>
      <c r="I242" s="464">
        <f t="shared" si="32"/>
        <v>383796.9</v>
      </c>
      <c r="J242" s="464">
        <v>0</v>
      </c>
      <c r="K242" s="556">
        <f t="shared" si="31"/>
        <v>383796.9</v>
      </c>
      <c r="L242" s="299"/>
      <c r="M242" s="754"/>
    </row>
    <row r="243" spans="1:34" s="180" customFormat="1" hidden="1" outlineLevel="2" x14ac:dyDescent="0.25">
      <c r="A243" s="724">
        <f t="shared" si="29"/>
        <v>221</v>
      </c>
      <c r="B243" s="185"/>
      <c r="C243" s="533" t="s">
        <v>440</v>
      </c>
      <c r="D243" s="533"/>
      <c r="E243" s="177" t="s">
        <v>33</v>
      </c>
      <c r="F243" s="532">
        <f>4257.4/1000</f>
        <v>4.2569999999999997</v>
      </c>
      <c r="G243" s="464">
        <v>55350</v>
      </c>
      <c r="H243" s="464">
        <v>0</v>
      </c>
      <c r="I243" s="464">
        <f t="shared" si="32"/>
        <v>235624.95</v>
      </c>
      <c r="J243" s="464">
        <v>0</v>
      </c>
      <c r="K243" s="556">
        <f t="shared" si="31"/>
        <v>235624.95</v>
      </c>
      <c r="L243" s="299"/>
      <c r="M243" s="754"/>
    </row>
    <row r="244" spans="1:34" s="180" customFormat="1" hidden="1" outlineLevel="2" x14ac:dyDescent="0.25">
      <c r="A244" s="724">
        <f t="shared" si="29"/>
        <v>222</v>
      </c>
      <c r="B244" s="185"/>
      <c r="C244" s="191" t="s">
        <v>405</v>
      </c>
      <c r="D244" s="191"/>
      <c r="E244" s="177" t="s">
        <v>33</v>
      </c>
      <c r="F244" s="532">
        <f>90.1/1000</f>
        <v>0.09</v>
      </c>
      <c r="G244" s="461">
        <v>55350</v>
      </c>
      <c r="H244" s="464">
        <v>0</v>
      </c>
      <c r="I244" s="464">
        <f t="shared" si="32"/>
        <v>4981.5</v>
      </c>
      <c r="J244" s="464">
        <v>0</v>
      </c>
      <c r="K244" s="556">
        <f t="shared" si="31"/>
        <v>4981.5</v>
      </c>
      <c r="L244" s="299"/>
      <c r="M244" s="754"/>
    </row>
    <row r="245" spans="1:34" s="180" customFormat="1" hidden="1" outlineLevel="2" x14ac:dyDescent="0.25">
      <c r="A245" s="724">
        <f t="shared" si="29"/>
        <v>223</v>
      </c>
      <c r="B245" s="185"/>
      <c r="C245" s="176" t="s">
        <v>428</v>
      </c>
      <c r="D245" s="176"/>
      <c r="E245" s="177" t="s">
        <v>33</v>
      </c>
      <c r="F245" s="532">
        <f>10044.37/1000</f>
        <v>10.044</v>
      </c>
      <c r="G245" s="461">
        <v>55350</v>
      </c>
      <c r="H245" s="464">
        <v>0</v>
      </c>
      <c r="I245" s="464">
        <f t="shared" si="32"/>
        <v>555935.4</v>
      </c>
      <c r="J245" s="464">
        <v>0</v>
      </c>
      <c r="K245" s="556">
        <f t="shared" si="31"/>
        <v>555935.4</v>
      </c>
      <c r="L245" s="299"/>
      <c r="M245" s="754"/>
    </row>
    <row r="246" spans="1:34" s="180" customFormat="1" hidden="1" outlineLevel="2" x14ac:dyDescent="0.25">
      <c r="A246" s="724">
        <f t="shared" si="29"/>
        <v>224</v>
      </c>
      <c r="B246" s="185"/>
      <c r="C246" s="176" t="s">
        <v>429</v>
      </c>
      <c r="D246" s="176"/>
      <c r="E246" s="177" t="s">
        <v>33</v>
      </c>
      <c r="F246" s="532">
        <f>189654.52/1000</f>
        <v>189.655</v>
      </c>
      <c r="G246" s="461">
        <v>55350</v>
      </c>
      <c r="H246" s="464">
        <v>0</v>
      </c>
      <c r="I246" s="464">
        <f t="shared" si="32"/>
        <v>10497404.25</v>
      </c>
      <c r="J246" s="464">
        <v>0</v>
      </c>
      <c r="K246" s="556">
        <f t="shared" si="31"/>
        <v>10497404.25</v>
      </c>
      <c r="L246" s="299"/>
      <c r="M246" s="754"/>
    </row>
    <row r="247" spans="1:34" s="180" customFormat="1" hidden="1" outlineLevel="2" x14ac:dyDescent="0.2">
      <c r="A247" s="724">
        <f t="shared" si="29"/>
        <v>225</v>
      </c>
      <c r="B247" s="185"/>
      <c r="C247" s="534" t="s">
        <v>430</v>
      </c>
      <c r="D247" s="534"/>
      <c r="E247" s="177" t="s">
        <v>33</v>
      </c>
      <c r="F247" s="532">
        <f>4017/1000</f>
        <v>4.0170000000000003</v>
      </c>
      <c r="G247" s="592">
        <v>55350</v>
      </c>
      <c r="H247" s="464">
        <v>0</v>
      </c>
      <c r="I247" s="464">
        <f t="shared" si="32"/>
        <v>222340.95</v>
      </c>
      <c r="J247" s="464">
        <v>0</v>
      </c>
      <c r="K247" s="556">
        <f t="shared" si="31"/>
        <v>222340.95</v>
      </c>
      <c r="L247" s="299"/>
      <c r="M247" s="754"/>
    </row>
    <row r="248" spans="1:34" s="180" customFormat="1" hidden="1" outlineLevel="2" x14ac:dyDescent="0.25">
      <c r="A248" s="724">
        <f t="shared" si="29"/>
        <v>226</v>
      </c>
      <c r="B248" s="185"/>
      <c r="C248" s="184" t="s">
        <v>409</v>
      </c>
      <c r="D248" s="184"/>
      <c r="E248" s="177" t="s">
        <v>33</v>
      </c>
      <c r="F248" s="532">
        <f>27217.83/1000</f>
        <v>27.218</v>
      </c>
      <c r="G248" s="461">
        <v>55900</v>
      </c>
      <c r="H248" s="464">
        <v>0</v>
      </c>
      <c r="I248" s="464">
        <f t="shared" si="32"/>
        <v>1521486.2</v>
      </c>
      <c r="J248" s="464">
        <v>0</v>
      </c>
      <c r="K248" s="556">
        <f t="shared" si="31"/>
        <v>1521486.2</v>
      </c>
      <c r="L248" s="299"/>
      <c r="M248" s="754"/>
    </row>
    <row r="249" spans="1:34" s="338" customFormat="1" ht="13.5" hidden="1" outlineLevel="1" x14ac:dyDescent="0.25">
      <c r="A249" s="724">
        <f t="shared" si="29"/>
        <v>227</v>
      </c>
      <c r="B249" s="608"/>
      <c r="C249" s="529" t="s">
        <v>760</v>
      </c>
      <c r="D249" s="529"/>
      <c r="E249" s="336" t="s">
        <v>0</v>
      </c>
      <c r="F249" s="306">
        <f>F250</f>
        <v>2017</v>
      </c>
      <c r="G249" s="584">
        <v>0</v>
      </c>
      <c r="H249" s="584">
        <v>5600</v>
      </c>
      <c r="I249" s="584">
        <f>I250</f>
        <v>15077075</v>
      </c>
      <c r="J249" s="584">
        <f>H249*F249</f>
        <v>11295200</v>
      </c>
      <c r="K249" s="700">
        <f t="shared" si="31"/>
        <v>26372275</v>
      </c>
      <c r="L249" s="585"/>
      <c r="M249" s="755"/>
    </row>
    <row r="250" spans="1:34" s="180" customFormat="1" hidden="1" outlineLevel="2" x14ac:dyDescent="0.25">
      <c r="A250" s="724">
        <f t="shared" si="29"/>
        <v>228</v>
      </c>
      <c r="B250" s="609"/>
      <c r="C250" s="191" t="s">
        <v>414</v>
      </c>
      <c r="D250" s="191"/>
      <c r="E250" s="2" t="s">
        <v>0</v>
      </c>
      <c r="F250" s="537">
        <v>2017</v>
      </c>
      <c r="G250" s="464">
        <v>7475</v>
      </c>
      <c r="H250" s="464">
        <v>0</v>
      </c>
      <c r="I250" s="464">
        <f t="shared" si="32"/>
        <v>15077075</v>
      </c>
      <c r="J250" s="464">
        <v>0</v>
      </c>
      <c r="K250" s="556">
        <f t="shared" si="31"/>
        <v>15077075</v>
      </c>
      <c r="L250" s="299"/>
      <c r="M250" s="179"/>
    </row>
    <row r="251" spans="1:34" s="63" customFormat="1" ht="13.5" hidden="1" outlineLevel="1" x14ac:dyDescent="0.25">
      <c r="A251" s="724">
        <f t="shared" si="29"/>
        <v>229</v>
      </c>
      <c r="B251" s="607" t="s">
        <v>712</v>
      </c>
      <c r="C251" s="393" t="s">
        <v>416</v>
      </c>
      <c r="D251" s="393"/>
      <c r="E251" s="119"/>
      <c r="F251" s="393"/>
      <c r="G251" s="460"/>
      <c r="H251" s="460"/>
      <c r="I251" s="460">
        <f>SUMIF(G252:G273,G252,I252:I273)</f>
        <v>16207573.859999999</v>
      </c>
      <c r="J251" s="460">
        <f>SUMIF(G252:G273,G252,J252:J273)</f>
        <v>10059846</v>
      </c>
      <c r="K251" s="710">
        <f t="shared" si="31"/>
        <v>26267419.859999999</v>
      </c>
      <c r="L251" s="300"/>
      <c r="M251" s="65"/>
      <c r="N251" s="338"/>
      <c r="O251" s="338"/>
      <c r="P251" s="338"/>
      <c r="Q251" s="338"/>
      <c r="R251" s="338"/>
      <c r="S251" s="338"/>
      <c r="T251" s="338"/>
      <c r="U251" s="338"/>
      <c r="V251" s="338"/>
      <c r="W251" s="338"/>
      <c r="X251" s="338"/>
      <c r="Y251" s="338"/>
      <c r="Z251" s="338"/>
      <c r="AA251" s="338"/>
      <c r="AB251" s="338"/>
      <c r="AC251" s="338"/>
      <c r="AD251" s="338"/>
      <c r="AE251" s="338"/>
      <c r="AF251" s="338"/>
      <c r="AG251" s="338"/>
      <c r="AH251" s="338"/>
    </row>
    <row r="252" spans="1:34" s="338" customFormat="1" ht="13.5" hidden="1" outlineLevel="1" x14ac:dyDescent="0.25">
      <c r="A252" s="724">
        <f t="shared" si="29"/>
        <v>230</v>
      </c>
      <c r="B252" s="608"/>
      <c r="C252" s="529" t="s">
        <v>669</v>
      </c>
      <c r="D252" s="529"/>
      <c r="E252" s="336" t="s">
        <v>0</v>
      </c>
      <c r="F252" s="306">
        <f>F253</f>
        <v>90</v>
      </c>
      <c r="G252" s="584">
        <v>0</v>
      </c>
      <c r="H252" s="584">
        <v>5600</v>
      </c>
      <c r="I252" s="584">
        <f>I253</f>
        <v>498150</v>
      </c>
      <c r="J252" s="584">
        <f>H252*F252</f>
        <v>504000</v>
      </c>
      <c r="K252" s="700">
        <f t="shared" si="31"/>
        <v>1002150</v>
      </c>
      <c r="L252" s="585"/>
      <c r="M252" s="337"/>
    </row>
    <row r="253" spans="1:34" s="180" customFormat="1" hidden="1" outlineLevel="2" x14ac:dyDescent="0.25">
      <c r="A253" s="724">
        <f t="shared" si="29"/>
        <v>231</v>
      </c>
      <c r="B253" s="185"/>
      <c r="C253" s="191" t="s">
        <v>662</v>
      </c>
      <c r="D253" s="191"/>
      <c r="E253" s="177" t="s">
        <v>0</v>
      </c>
      <c r="F253" s="539">
        <v>90</v>
      </c>
      <c r="G253" s="464">
        <v>5535</v>
      </c>
      <c r="H253" s="464">
        <v>0</v>
      </c>
      <c r="I253" s="464">
        <f t="shared" ref="I253:I273" si="33">G253*F253</f>
        <v>498150</v>
      </c>
      <c r="J253" s="464">
        <v>0</v>
      </c>
      <c r="K253" s="556">
        <f t="shared" si="31"/>
        <v>498150</v>
      </c>
      <c r="L253" s="540"/>
      <c r="M253" s="540"/>
    </row>
    <row r="254" spans="1:34" s="338" customFormat="1" ht="13.5" hidden="1" outlineLevel="1" x14ac:dyDescent="0.25">
      <c r="A254" s="724">
        <f t="shared" si="29"/>
        <v>232</v>
      </c>
      <c r="B254" s="608"/>
      <c r="C254" s="529" t="s">
        <v>383</v>
      </c>
      <c r="D254" s="529"/>
      <c r="E254" s="336" t="s">
        <v>0</v>
      </c>
      <c r="F254" s="306">
        <f>F255</f>
        <v>48</v>
      </c>
      <c r="G254" s="584">
        <v>0</v>
      </c>
      <c r="H254" s="584">
        <v>5600</v>
      </c>
      <c r="I254" s="584">
        <f>I255</f>
        <v>329760</v>
      </c>
      <c r="J254" s="584">
        <f>H254*F254</f>
        <v>268800</v>
      </c>
      <c r="K254" s="700">
        <f t="shared" si="31"/>
        <v>598560</v>
      </c>
      <c r="L254" s="337"/>
      <c r="M254" s="337"/>
    </row>
    <row r="255" spans="1:34" s="180" customFormat="1" hidden="1" outlineLevel="2" x14ac:dyDescent="0.25">
      <c r="A255" s="724">
        <f t="shared" si="29"/>
        <v>233</v>
      </c>
      <c r="B255" s="185"/>
      <c r="C255" s="250" t="s">
        <v>293</v>
      </c>
      <c r="D255" s="250"/>
      <c r="E255" s="2" t="s">
        <v>0</v>
      </c>
      <c r="F255" s="537">
        <v>48</v>
      </c>
      <c r="G255" s="464">
        <v>6870</v>
      </c>
      <c r="H255" s="464">
        <v>0</v>
      </c>
      <c r="I255" s="464">
        <f t="shared" si="33"/>
        <v>329760</v>
      </c>
      <c r="J255" s="464">
        <v>0</v>
      </c>
      <c r="K255" s="556">
        <f t="shared" si="31"/>
        <v>329760</v>
      </c>
      <c r="L255" s="179"/>
      <c r="M255" s="179"/>
    </row>
    <row r="256" spans="1:34" s="338" customFormat="1" ht="13.5" hidden="1" outlineLevel="1" x14ac:dyDescent="0.25">
      <c r="A256" s="724">
        <f t="shared" si="29"/>
        <v>234</v>
      </c>
      <c r="B256" s="608"/>
      <c r="C256" s="337" t="s">
        <v>423</v>
      </c>
      <c r="D256" s="337"/>
      <c r="E256" s="696" t="s">
        <v>390</v>
      </c>
      <c r="F256" s="306">
        <v>104</v>
      </c>
      <c r="G256" s="584">
        <v>0</v>
      </c>
      <c r="H256" s="584">
        <v>1725</v>
      </c>
      <c r="I256" s="584">
        <f>SUM(I257:I261)</f>
        <v>219640.9</v>
      </c>
      <c r="J256" s="584">
        <f>H256*F256</f>
        <v>179400</v>
      </c>
      <c r="K256" s="700">
        <f t="shared" si="31"/>
        <v>399040.9</v>
      </c>
      <c r="L256" s="697"/>
      <c r="M256" s="337"/>
    </row>
    <row r="257" spans="1:13" s="180" customFormat="1" hidden="1" outlineLevel="2" x14ac:dyDescent="0.25">
      <c r="A257" s="724">
        <f t="shared" si="29"/>
        <v>235</v>
      </c>
      <c r="B257" s="185"/>
      <c r="C257" s="193" t="s">
        <v>395</v>
      </c>
      <c r="D257" s="193"/>
      <c r="E257" s="177" t="s">
        <v>0</v>
      </c>
      <c r="F257" s="181">
        <v>3.6</v>
      </c>
      <c r="G257" s="464">
        <v>15099</v>
      </c>
      <c r="H257" s="464">
        <v>0</v>
      </c>
      <c r="I257" s="464">
        <f t="shared" si="33"/>
        <v>54356.4</v>
      </c>
      <c r="J257" s="464">
        <v>0</v>
      </c>
      <c r="K257" s="556">
        <f t="shared" si="31"/>
        <v>54356.4</v>
      </c>
      <c r="L257" s="299" t="s">
        <v>396</v>
      </c>
      <c r="M257" s="179"/>
    </row>
    <row r="258" spans="1:13" s="180" customFormat="1" hidden="1" outlineLevel="2" x14ac:dyDescent="0.25">
      <c r="A258" s="724">
        <f t="shared" si="29"/>
        <v>236</v>
      </c>
      <c r="B258" s="185"/>
      <c r="C258" s="191" t="s">
        <v>389</v>
      </c>
      <c r="D258" s="191"/>
      <c r="E258" s="177" t="s">
        <v>390</v>
      </c>
      <c r="F258" s="181">
        <v>104</v>
      </c>
      <c r="G258" s="464">
        <v>1390</v>
      </c>
      <c r="H258" s="464">
        <v>0</v>
      </c>
      <c r="I258" s="464">
        <f t="shared" si="33"/>
        <v>144560</v>
      </c>
      <c r="J258" s="464">
        <v>0</v>
      </c>
      <c r="K258" s="556">
        <f t="shared" si="31"/>
        <v>144560</v>
      </c>
      <c r="L258" s="297"/>
      <c r="M258" s="179"/>
    </row>
    <row r="259" spans="1:13" s="180" customFormat="1" hidden="1" outlineLevel="2" x14ac:dyDescent="0.25">
      <c r="A259" s="724">
        <f t="shared" si="29"/>
        <v>237</v>
      </c>
      <c r="B259" s="185"/>
      <c r="C259" s="191" t="s">
        <v>391</v>
      </c>
      <c r="D259" s="191"/>
      <c r="E259" s="177" t="s">
        <v>390</v>
      </c>
      <c r="F259" s="181">
        <v>29</v>
      </c>
      <c r="G259" s="464">
        <v>633</v>
      </c>
      <c r="H259" s="464">
        <v>0</v>
      </c>
      <c r="I259" s="464">
        <f t="shared" si="33"/>
        <v>18357</v>
      </c>
      <c r="J259" s="464">
        <v>0</v>
      </c>
      <c r="K259" s="556">
        <f t="shared" si="31"/>
        <v>18357</v>
      </c>
      <c r="L259" s="297"/>
      <c r="M259" s="179"/>
    </row>
    <row r="260" spans="1:13" s="180" customFormat="1" hidden="1" outlineLevel="2" x14ac:dyDescent="0.25">
      <c r="A260" s="724">
        <f t="shared" si="29"/>
        <v>238</v>
      </c>
      <c r="B260" s="185"/>
      <c r="C260" s="191" t="s">
        <v>392</v>
      </c>
      <c r="D260" s="191"/>
      <c r="E260" s="177" t="s">
        <v>92</v>
      </c>
      <c r="F260" s="181">
        <v>0.1</v>
      </c>
      <c r="G260" s="464">
        <v>445</v>
      </c>
      <c r="H260" s="464">
        <v>0</v>
      </c>
      <c r="I260" s="464">
        <f t="shared" si="33"/>
        <v>44.5</v>
      </c>
      <c r="J260" s="464">
        <v>0</v>
      </c>
      <c r="K260" s="556">
        <f t="shared" si="31"/>
        <v>44.5</v>
      </c>
      <c r="L260" s="297"/>
      <c r="M260" s="179"/>
    </row>
    <row r="261" spans="1:13" s="180" customFormat="1" hidden="1" outlineLevel="2" x14ac:dyDescent="0.25">
      <c r="A261" s="724">
        <f t="shared" si="29"/>
        <v>239</v>
      </c>
      <c r="B261" s="185"/>
      <c r="C261" s="191" t="s">
        <v>393</v>
      </c>
      <c r="D261" s="191"/>
      <c r="E261" s="177" t="s">
        <v>390</v>
      </c>
      <c r="F261" s="181">
        <v>101</v>
      </c>
      <c r="G261" s="464">
        <v>23</v>
      </c>
      <c r="H261" s="464">
        <v>0</v>
      </c>
      <c r="I261" s="464">
        <f t="shared" si="33"/>
        <v>2323</v>
      </c>
      <c r="J261" s="464">
        <v>0</v>
      </c>
      <c r="K261" s="556">
        <f t="shared" si="31"/>
        <v>2323</v>
      </c>
      <c r="L261" s="299" t="s">
        <v>394</v>
      </c>
      <c r="M261" s="179"/>
    </row>
    <row r="262" spans="1:13" s="338" customFormat="1" ht="13.5" hidden="1" outlineLevel="1" x14ac:dyDescent="0.25">
      <c r="A262" s="724">
        <f t="shared" si="29"/>
        <v>240</v>
      </c>
      <c r="B262" s="608"/>
      <c r="C262" s="529" t="s">
        <v>425</v>
      </c>
      <c r="D262" s="529"/>
      <c r="E262" s="336" t="s">
        <v>33</v>
      </c>
      <c r="F262" s="306">
        <f>SUM(F263:F271)</f>
        <v>149.34</v>
      </c>
      <c r="G262" s="584">
        <v>0</v>
      </c>
      <c r="H262" s="584">
        <v>26900</v>
      </c>
      <c r="I262" s="584">
        <f>SUM(I263:I271)</f>
        <v>8365247.96</v>
      </c>
      <c r="J262" s="584">
        <f>H262*F262</f>
        <v>4017246</v>
      </c>
      <c r="K262" s="700">
        <f t="shared" si="31"/>
        <v>12382493.960000001</v>
      </c>
      <c r="L262" s="542"/>
      <c r="M262" s="747" t="s">
        <v>629</v>
      </c>
    </row>
    <row r="263" spans="1:13" s="180" customFormat="1" hidden="1" outlineLevel="2" x14ac:dyDescent="0.25">
      <c r="A263" s="724">
        <f t="shared" si="29"/>
        <v>241</v>
      </c>
      <c r="B263" s="185"/>
      <c r="C263" s="191" t="s">
        <v>399</v>
      </c>
      <c r="D263" s="191"/>
      <c r="E263" s="177" t="s">
        <v>33</v>
      </c>
      <c r="F263" s="307">
        <f>3.5/1000</f>
        <v>4.0000000000000001E-3</v>
      </c>
      <c r="G263" s="464">
        <v>58490</v>
      </c>
      <c r="H263" s="464">
        <v>0</v>
      </c>
      <c r="I263" s="464">
        <f t="shared" si="33"/>
        <v>233.96</v>
      </c>
      <c r="J263" s="464">
        <v>0</v>
      </c>
      <c r="K263" s="556">
        <f t="shared" si="31"/>
        <v>233.96</v>
      </c>
      <c r="L263" s="299"/>
      <c r="M263" s="748"/>
    </row>
    <row r="264" spans="1:13" s="180" customFormat="1" hidden="1" outlineLevel="2" x14ac:dyDescent="0.25">
      <c r="A264" s="724">
        <f t="shared" si="29"/>
        <v>242</v>
      </c>
      <c r="B264" s="185"/>
      <c r="C264" s="176" t="s">
        <v>401</v>
      </c>
      <c r="D264" s="176"/>
      <c r="E264" s="177" t="s">
        <v>33</v>
      </c>
      <c r="F264" s="178">
        <f>2905.92/1000</f>
        <v>2.91</v>
      </c>
      <c r="G264" s="464">
        <v>58150</v>
      </c>
      <c r="H264" s="464">
        <v>0</v>
      </c>
      <c r="I264" s="464">
        <f t="shared" si="33"/>
        <v>169216.5</v>
      </c>
      <c r="J264" s="464">
        <v>0</v>
      </c>
      <c r="K264" s="556">
        <f t="shared" si="31"/>
        <v>169216.5</v>
      </c>
      <c r="L264" s="299"/>
      <c r="M264" s="748"/>
    </row>
    <row r="265" spans="1:13" s="180" customFormat="1" hidden="1" outlineLevel="2" x14ac:dyDescent="0.25">
      <c r="A265" s="724">
        <f t="shared" si="29"/>
        <v>243</v>
      </c>
      <c r="B265" s="185"/>
      <c r="C265" s="176" t="s">
        <v>426</v>
      </c>
      <c r="D265" s="176"/>
      <c r="E265" s="177" t="s">
        <v>33</v>
      </c>
      <c r="F265" s="178">
        <f>25468.47/1000</f>
        <v>25.47</v>
      </c>
      <c r="G265" s="464">
        <v>58900</v>
      </c>
      <c r="H265" s="464">
        <v>0</v>
      </c>
      <c r="I265" s="464">
        <f t="shared" si="33"/>
        <v>1500183</v>
      </c>
      <c r="J265" s="464">
        <v>0</v>
      </c>
      <c r="K265" s="556">
        <f t="shared" si="31"/>
        <v>1500183</v>
      </c>
      <c r="L265" s="299"/>
      <c r="M265" s="748"/>
    </row>
    <row r="266" spans="1:13" s="180" customFormat="1" hidden="1" outlineLevel="2" x14ac:dyDescent="0.25">
      <c r="A266" s="724">
        <f t="shared" si="29"/>
        <v>244</v>
      </c>
      <c r="B266" s="185"/>
      <c r="C266" s="176" t="s">
        <v>427</v>
      </c>
      <c r="D266" s="176"/>
      <c r="E266" s="177" t="s">
        <v>33</v>
      </c>
      <c r="F266" s="178">
        <f>2277.41/1000</f>
        <v>2.2799999999999998</v>
      </c>
      <c r="G266" s="464">
        <v>55350</v>
      </c>
      <c r="H266" s="464">
        <v>0</v>
      </c>
      <c r="I266" s="464">
        <f t="shared" si="33"/>
        <v>126198</v>
      </c>
      <c r="J266" s="464">
        <v>0</v>
      </c>
      <c r="K266" s="556">
        <f t="shared" si="31"/>
        <v>126198</v>
      </c>
      <c r="L266" s="299"/>
      <c r="M266" s="748"/>
    </row>
    <row r="267" spans="1:13" s="180" customFormat="1" hidden="1" outlineLevel="2" x14ac:dyDescent="0.25">
      <c r="A267" s="724">
        <f t="shared" si="29"/>
        <v>245</v>
      </c>
      <c r="B267" s="185"/>
      <c r="C267" s="533" t="s">
        <v>440</v>
      </c>
      <c r="D267" s="533"/>
      <c r="E267" s="177" t="s">
        <v>33</v>
      </c>
      <c r="F267" s="178">
        <f>2523.62/1000</f>
        <v>2.52</v>
      </c>
      <c r="G267" s="464">
        <v>55350</v>
      </c>
      <c r="H267" s="464">
        <v>0</v>
      </c>
      <c r="I267" s="464">
        <f t="shared" si="33"/>
        <v>139482</v>
      </c>
      <c r="J267" s="464">
        <v>0</v>
      </c>
      <c r="K267" s="556">
        <f t="shared" si="31"/>
        <v>139482</v>
      </c>
      <c r="L267" s="299"/>
      <c r="M267" s="748"/>
    </row>
    <row r="268" spans="1:13" s="180" customFormat="1" hidden="1" outlineLevel="2" x14ac:dyDescent="0.25">
      <c r="A268" s="724">
        <f t="shared" si="29"/>
        <v>246</v>
      </c>
      <c r="B268" s="185"/>
      <c r="C268" s="176" t="s">
        <v>428</v>
      </c>
      <c r="D268" s="176"/>
      <c r="E268" s="177" t="s">
        <v>33</v>
      </c>
      <c r="F268" s="178">
        <f>2034.62/1000</f>
        <v>2.0299999999999998</v>
      </c>
      <c r="G268" s="464">
        <v>55350</v>
      </c>
      <c r="H268" s="464">
        <v>0</v>
      </c>
      <c r="I268" s="464">
        <f t="shared" si="33"/>
        <v>112360.5</v>
      </c>
      <c r="J268" s="464">
        <v>0</v>
      </c>
      <c r="K268" s="556">
        <f t="shared" si="31"/>
        <v>112360.5</v>
      </c>
      <c r="L268" s="299"/>
      <c r="M268" s="748"/>
    </row>
    <row r="269" spans="1:13" s="180" customFormat="1" hidden="1" outlineLevel="2" x14ac:dyDescent="0.25">
      <c r="A269" s="724">
        <f t="shared" si="29"/>
        <v>247</v>
      </c>
      <c r="B269" s="185"/>
      <c r="C269" s="176" t="s">
        <v>429</v>
      </c>
      <c r="D269" s="176"/>
      <c r="E269" s="177" t="s">
        <v>33</v>
      </c>
      <c r="F269" s="178">
        <f>110652.15/1000</f>
        <v>110.65</v>
      </c>
      <c r="G269" s="464">
        <v>55350</v>
      </c>
      <c r="H269" s="464">
        <v>0</v>
      </c>
      <c r="I269" s="464">
        <f t="shared" si="33"/>
        <v>6124477.5</v>
      </c>
      <c r="J269" s="464">
        <v>0</v>
      </c>
      <c r="K269" s="556">
        <f t="shared" si="31"/>
        <v>6124477.5</v>
      </c>
      <c r="L269" s="299"/>
      <c r="M269" s="748"/>
    </row>
    <row r="270" spans="1:13" s="180" customFormat="1" hidden="1" outlineLevel="2" x14ac:dyDescent="0.25">
      <c r="A270" s="724">
        <f t="shared" si="29"/>
        <v>248</v>
      </c>
      <c r="B270" s="185"/>
      <c r="C270" s="534" t="s">
        <v>430</v>
      </c>
      <c r="D270" s="534"/>
      <c r="E270" s="177" t="s">
        <v>33</v>
      </c>
      <c r="F270" s="178">
        <f>2607.7/1000</f>
        <v>2.61</v>
      </c>
      <c r="G270" s="464">
        <v>55350</v>
      </c>
      <c r="H270" s="464">
        <v>0</v>
      </c>
      <c r="I270" s="464">
        <f t="shared" si="33"/>
        <v>144463.5</v>
      </c>
      <c r="J270" s="464">
        <v>0</v>
      </c>
      <c r="K270" s="556">
        <f t="shared" si="31"/>
        <v>144463.5</v>
      </c>
      <c r="L270" s="299"/>
      <c r="M270" s="748"/>
    </row>
    <row r="271" spans="1:13" s="180" customFormat="1" hidden="1" outlineLevel="2" x14ac:dyDescent="0.25">
      <c r="A271" s="724">
        <f t="shared" si="29"/>
        <v>249</v>
      </c>
      <c r="B271" s="185"/>
      <c r="C271" s="534" t="s">
        <v>431</v>
      </c>
      <c r="D271" s="534"/>
      <c r="E271" s="177" t="s">
        <v>33</v>
      </c>
      <c r="F271" s="178">
        <f>872.34/1000</f>
        <v>0.87</v>
      </c>
      <c r="G271" s="464">
        <v>55900</v>
      </c>
      <c r="H271" s="464">
        <v>0</v>
      </c>
      <c r="I271" s="464">
        <f t="shared" si="33"/>
        <v>48633</v>
      </c>
      <c r="J271" s="464">
        <v>0</v>
      </c>
      <c r="K271" s="556">
        <f t="shared" si="31"/>
        <v>48633</v>
      </c>
      <c r="L271" s="299"/>
      <c r="M271" s="748"/>
    </row>
    <row r="272" spans="1:13" s="338" customFormat="1" ht="13.5" hidden="1" outlineLevel="1" x14ac:dyDescent="0.25">
      <c r="A272" s="724">
        <f t="shared" si="29"/>
        <v>250</v>
      </c>
      <c r="B272" s="608"/>
      <c r="C272" s="529" t="s">
        <v>661</v>
      </c>
      <c r="D272" s="529"/>
      <c r="E272" s="336" t="s">
        <v>0</v>
      </c>
      <c r="F272" s="306">
        <f>F273</f>
        <v>909</v>
      </c>
      <c r="G272" s="584">
        <v>0</v>
      </c>
      <c r="H272" s="584">
        <v>5600</v>
      </c>
      <c r="I272" s="584">
        <f>I273</f>
        <v>6794775</v>
      </c>
      <c r="J272" s="584">
        <f>H272*F272</f>
        <v>5090400</v>
      </c>
      <c r="K272" s="700">
        <f t="shared" si="31"/>
        <v>11885175</v>
      </c>
      <c r="L272" s="585"/>
      <c r="M272" s="748"/>
    </row>
    <row r="273" spans="1:34" s="180" customFormat="1" hidden="1" outlineLevel="2" x14ac:dyDescent="0.25">
      <c r="A273" s="724">
        <f t="shared" si="29"/>
        <v>251</v>
      </c>
      <c r="B273" s="609"/>
      <c r="C273" s="191" t="s">
        <v>414</v>
      </c>
      <c r="D273" s="191"/>
      <c r="E273" s="177" t="s">
        <v>0</v>
      </c>
      <c r="F273" s="181">
        <v>909</v>
      </c>
      <c r="G273" s="464">
        <v>7475</v>
      </c>
      <c r="H273" s="464">
        <v>0</v>
      </c>
      <c r="I273" s="464">
        <f t="shared" si="33"/>
        <v>6794775</v>
      </c>
      <c r="J273" s="464">
        <v>0</v>
      </c>
      <c r="K273" s="556">
        <f t="shared" si="31"/>
        <v>6794775</v>
      </c>
      <c r="L273" s="299"/>
      <c r="M273" s="749"/>
    </row>
    <row r="274" spans="1:34" s="426" customFormat="1" ht="13.5" hidden="1" outlineLevel="1" x14ac:dyDescent="0.25">
      <c r="A274" s="724">
        <f t="shared" si="29"/>
        <v>252</v>
      </c>
      <c r="B274" s="610" t="s">
        <v>713</v>
      </c>
      <c r="C274" s="372" t="s">
        <v>434</v>
      </c>
      <c r="D274" s="372"/>
      <c r="E274" s="632"/>
      <c r="F274" s="372"/>
      <c r="G274" s="589"/>
      <c r="H274" s="588"/>
      <c r="I274" s="588">
        <f>SUMIF(G275:G288,G275,I275:I288)</f>
        <v>10488596.5</v>
      </c>
      <c r="J274" s="588">
        <f>SUMIF(G275:G288,G275,J275:J288)</f>
        <v>6824870</v>
      </c>
      <c r="K274" s="710">
        <f t="shared" si="31"/>
        <v>17313466.5</v>
      </c>
      <c r="L274" s="300"/>
      <c r="M274" s="259"/>
      <c r="N274" s="425"/>
      <c r="O274" s="425"/>
      <c r="P274" s="425"/>
      <c r="Q274" s="425"/>
      <c r="R274" s="425"/>
      <c r="S274" s="425"/>
      <c r="T274" s="425"/>
      <c r="U274" s="425"/>
      <c r="V274" s="425"/>
      <c r="W274" s="425"/>
      <c r="X274" s="425"/>
      <c r="Y274" s="425"/>
      <c r="Z274" s="425"/>
      <c r="AA274" s="425"/>
      <c r="AB274" s="425"/>
      <c r="AC274" s="425"/>
      <c r="AD274" s="425"/>
      <c r="AE274" s="425"/>
      <c r="AF274" s="425"/>
      <c r="AG274" s="425"/>
      <c r="AH274" s="425"/>
    </row>
    <row r="275" spans="1:34" s="425" customFormat="1" ht="13.5" hidden="1" outlineLevel="1" x14ac:dyDescent="0.25">
      <c r="A275" s="724">
        <f t="shared" si="29"/>
        <v>253</v>
      </c>
      <c r="B275" s="608"/>
      <c r="C275" s="543" t="s">
        <v>671</v>
      </c>
      <c r="D275" s="543"/>
      <c r="E275" s="552" t="s">
        <v>0</v>
      </c>
      <c r="F275" s="545">
        <f>F276</f>
        <v>100</v>
      </c>
      <c r="G275" s="584">
        <v>0</v>
      </c>
      <c r="H275" s="584">
        <v>5600</v>
      </c>
      <c r="I275" s="584">
        <f>I276</f>
        <v>553500</v>
      </c>
      <c r="J275" s="584">
        <f>H275*F275</f>
        <v>560000</v>
      </c>
      <c r="K275" s="700">
        <f t="shared" si="31"/>
        <v>1113500</v>
      </c>
      <c r="L275" s="349"/>
      <c r="M275" s="543"/>
    </row>
    <row r="276" spans="1:34" s="257" customFormat="1" hidden="1" outlineLevel="2" x14ac:dyDescent="0.25">
      <c r="A276" s="724">
        <f t="shared" si="29"/>
        <v>254</v>
      </c>
      <c r="B276" s="363"/>
      <c r="C276" s="367" t="s">
        <v>662</v>
      </c>
      <c r="D276" s="367"/>
      <c r="E276" s="551" t="s">
        <v>0</v>
      </c>
      <c r="F276" s="546">
        <v>100</v>
      </c>
      <c r="G276" s="464">
        <v>5535</v>
      </c>
      <c r="H276" s="464">
        <v>0</v>
      </c>
      <c r="I276" s="464">
        <f t="shared" ref="I276:I288" si="34">G276*F276</f>
        <v>553500</v>
      </c>
      <c r="J276" s="464">
        <v>0</v>
      </c>
      <c r="K276" s="556">
        <f t="shared" si="31"/>
        <v>553500</v>
      </c>
      <c r="L276" s="360"/>
      <c r="M276" s="360"/>
    </row>
    <row r="277" spans="1:34" s="425" customFormat="1" ht="13.5" hidden="1" outlineLevel="1" x14ac:dyDescent="0.25">
      <c r="A277" s="724">
        <f t="shared" si="29"/>
        <v>255</v>
      </c>
      <c r="B277" s="608"/>
      <c r="C277" s="547" t="s">
        <v>383</v>
      </c>
      <c r="D277" s="547"/>
      <c r="E277" s="552" t="s">
        <v>0</v>
      </c>
      <c r="F277" s="548">
        <f>F278</f>
        <v>50</v>
      </c>
      <c r="G277" s="584">
        <v>0</v>
      </c>
      <c r="H277" s="584">
        <v>5600</v>
      </c>
      <c r="I277" s="584">
        <f>I278</f>
        <v>343500</v>
      </c>
      <c r="J277" s="584">
        <f>H277*F277</f>
        <v>280000</v>
      </c>
      <c r="K277" s="700">
        <f t="shared" si="31"/>
        <v>623500</v>
      </c>
      <c r="L277" s="543"/>
      <c r="M277" s="543"/>
    </row>
    <row r="278" spans="1:34" s="257" customFormat="1" hidden="1" outlineLevel="2" x14ac:dyDescent="0.25">
      <c r="A278" s="724">
        <f t="shared" si="29"/>
        <v>256</v>
      </c>
      <c r="B278" s="363"/>
      <c r="C278" s="250" t="s">
        <v>293</v>
      </c>
      <c r="D278" s="250"/>
      <c r="E278" s="551" t="s">
        <v>0</v>
      </c>
      <c r="F278" s="549">
        <v>50</v>
      </c>
      <c r="G278" s="464">
        <v>6870</v>
      </c>
      <c r="H278" s="464">
        <v>0</v>
      </c>
      <c r="I278" s="464">
        <f t="shared" si="34"/>
        <v>343500</v>
      </c>
      <c r="J278" s="464">
        <v>0</v>
      </c>
      <c r="K278" s="556">
        <f t="shared" si="31"/>
        <v>343500</v>
      </c>
      <c r="L278" s="367"/>
      <c r="M278" s="367"/>
    </row>
    <row r="279" spans="1:34" s="425" customFormat="1" ht="13.5" hidden="1" outlineLevel="1" x14ac:dyDescent="0.25">
      <c r="A279" s="724">
        <f t="shared" si="29"/>
        <v>257</v>
      </c>
      <c r="B279" s="608"/>
      <c r="C279" s="547" t="s">
        <v>438</v>
      </c>
      <c r="D279" s="547"/>
      <c r="E279" s="698" t="s">
        <v>390</v>
      </c>
      <c r="F279" s="718">
        <f>F280</f>
        <v>85</v>
      </c>
      <c r="G279" s="584">
        <v>0</v>
      </c>
      <c r="H279" s="584">
        <v>290</v>
      </c>
      <c r="I279" s="584">
        <f>I280</f>
        <v>53805</v>
      </c>
      <c r="J279" s="584">
        <v>24650</v>
      </c>
      <c r="K279" s="700">
        <f t="shared" si="31"/>
        <v>78455</v>
      </c>
      <c r="L279" s="585"/>
      <c r="M279" s="543"/>
    </row>
    <row r="280" spans="1:34" s="257" customFormat="1" hidden="1" outlineLevel="2" x14ac:dyDescent="0.25">
      <c r="A280" s="724">
        <f t="shared" si="29"/>
        <v>258</v>
      </c>
      <c r="B280" s="363"/>
      <c r="C280" s="550" t="s">
        <v>391</v>
      </c>
      <c r="D280" s="550"/>
      <c r="E280" s="551" t="s">
        <v>390</v>
      </c>
      <c r="F280" s="546">
        <v>85</v>
      </c>
      <c r="G280" s="464">
        <v>633</v>
      </c>
      <c r="H280" s="461">
        <v>0</v>
      </c>
      <c r="I280" s="464">
        <f t="shared" si="34"/>
        <v>53805</v>
      </c>
      <c r="J280" s="464">
        <v>0</v>
      </c>
      <c r="K280" s="556">
        <f t="shared" si="31"/>
        <v>53805</v>
      </c>
      <c r="L280" s="299"/>
      <c r="M280" s="360"/>
    </row>
    <row r="281" spans="1:34" s="425" customFormat="1" ht="13.5" hidden="1" outlineLevel="1" x14ac:dyDescent="0.25">
      <c r="A281" s="724">
        <f t="shared" ref="A281:A344" si="35">A280+1</f>
        <v>259</v>
      </c>
      <c r="B281" s="608"/>
      <c r="C281" s="543" t="s">
        <v>665</v>
      </c>
      <c r="D281" s="543"/>
      <c r="E281" s="552" t="s">
        <v>33</v>
      </c>
      <c r="F281" s="548">
        <f>SUM(F282:F286)</f>
        <v>79.8</v>
      </c>
      <c r="G281" s="584">
        <v>0</v>
      </c>
      <c r="H281" s="584">
        <v>26900</v>
      </c>
      <c r="I281" s="584">
        <f>SUM(I282:I286)</f>
        <v>4447316.5</v>
      </c>
      <c r="J281" s="584">
        <f>H281*F281</f>
        <v>2146620</v>
      </c>
      <c r="K281" s="700">
        <f t="shared" si="31"/>
        <v>6593936.5</v>
      </c>
      <c r="L281" s="349"/>
      <c r="M281" s="871" t="s">
        <v>632</v>
      </c>
    </row>
    <row r="282" spans="1:34" s="257" customFormat="1" hidden="1" outlineLevel="2" x14ac:dyDescent="0.25">
      <c r="A282" s="724">
        <f t="shared" si="35"/>
        <v>260</v>
      </c>
      <c r="B282" s="363"/>
      <c r="C282" s="533" t="s">
        <v>401</v>
      </c>
      <c r="D282" s="533"/>
      <c r="E282" s="551" t="s">
        <v>33</v>
      </c>
      <c r="F282" s="546">
        <f>6254.92/1000</f>
        <v>6.25</v>
      </c>
      <c r="G282" s="464">
        <v>58150</v>
      </c>
      <c r="H282" s="464">
        <v>0</v>
      </c>
      <c r="I282" s="464">
        <f t="shared" si="34"/>
        <v>363437.5</v>
      </c>
      <c r="J282" s="464">
        <v>0</v>
      </c>
      <c r="K282" s="556">
        <f t="shared" si="31"/>
        <v>363437.5</v>
      </c>
      <c r="L282" s="360"/>
      <c r="M282" s="872"/>
    </row>
    <row r="283" spans="1:34" s="257" customFormat="1" hidden="1" outlineLevel="2" x14ac:dyDescent="0.25">
      <c r="A283" s="724">
        <f t="shared" si="35"/>
        <v>261</v>
      </c>
      <c r="B283" s="363"/>
      <c r="C283" s="533" t="s">
        <v>440</v>
      </c>
      <c r="D283" s="533"/>
      <c r="E283" s="551" t="s">
        <v>33</v>
      </c>
      <c r="F283" s="546">
        <f>47078.44/1000</f>
        <v>47.08</v>
      </c>
      <c r="G283" s="464">
        <v>55350</v>
      </c>
      <c r="H283" s="464">
        <v>0</v>
      </c>
      <c r="I283" s="464">
        <f t="shared" si="34"/>
        <v>2605878</v>
      </c>
      <c r="J283" s="464">
        <v>0</v>
      </c>
      <c r="K283" s="556">
        <f t="shared" si="31"/>
        <v>2605878</v>
      </c>
      <c r="L283" s="360"/>
      <c r="M283" s="872"/>
    </row>
    <row r="284" spans="1:34" s="257" customFormat="1" hidden="1" outlineLevel="2" x14ac:dyDescent="0.25">
      <c r="A284" s="724">
        <f t="shared" si="35"/>
        <v>262</v>
      </c>
      <c r="B284" s="363"/>
      <c r="C284" s="533" t="s">
        <v>429</v>
      </c>
      <c r="D284" s="533"/>
      <c r="E284" s="551" t="s">
        <v>33</v>
      </c>
      <c r="F284" s="546">
        <f>2600.91/1000</f>
        <v>2.6</v>
      </c>
      <c r="G284" s="464">
        <v>55350</v>
      </c>
      <c r="H284" s="464">
        <v>0</v>
      </c>
      <c r="I284" s="464">
        <f t="shared" si="34"/>
        <v>143910</v>
      </c>
      <c r="J284" s="464">
        <v>0</v>
      </c>
      <c r="K284" s="556">
        <f t="shared" si="31"/>
        <v>143910</v>
      </c>
      <c r="L284" s="360"/>
      <c r="M284" s="872"/>
    </row>
    <row r="285" spans="1:34" s="257" customFormat="1" hidden="1" outlineLevel="2" x14ac:dyDescent="0.25">
      <c r="A285" s="724">
        <f t="shared" si="35"/>
        <v>263</v>
      </c>
      <c r="B285" s="363"/>
      <c r="C285" s="534" t="s">
        <v>430</v>
      </c>
      <c r="D285" s="534"/>
      <c r="E285" s="551" t="s">
        <v>33</v>
      </c>
      <c r="F285" s="546">
        <f>436.16/1000</f>
        <v>0.44</v>
      </c>
      <c r="G285" s="464">
        <v>55350</v>
      </c>
      <c r="H285" s="464">
        <v>0</v>
      </c>
      <c r="I285" s="464">
        <f t="shared" si="34"/>
        <v>24354</v>
      </c>
      <c r="J285" s="464">
        <v>0</v>
      </c>
      <c r="K285" s="556">
        <f t="shared" si="31"/>
        <v>24354</v>
      </c>
      <c r="L285" s="360"/>
      <c r="M285" s="872"/>
    </row>
    <row r="286" spans="1:34" s="257" customFormat="1" hidden="1" outlineLevel="2" x14ac:dyDescent="0.25">
      <c r="A286" s="724">
        <f t="shared" si="35"/>
        <v>264</v>
      </c>
      <c r="B286" s="363"/>
      <c r="C286" s="533" t="s">
        <v>431</v>
      </c>
      <c r="D286" s="533"/>
      <c r="E286" s="551" t="s">
        <v>33</v>
      </c>
      <c r="F286" s="546">
        <f>23432.32/1000</f>
        <v>23.43</v>
      </c>
      <c r="G286" s="464">
        <v>55900</v>
      </c>
      <c r="H286" s="464">
        <v>0</v>
      </c>
      <c r="I286" s="464">
        <f t="shared" si="34"/>
        <v>1309737</v>
      </c>
      <c r="J286" s="464">
        <v>0</v>
      </c>
      <c r="K286" s="556">
        <f t="shared" si="31"/>
        <v>1309737</v>
      </c>
      <c r="L286" s="360"/>
      <c r="M286" s="872"/>
    </row>
    <row r="287" spans="1:34" s="425" customFormat="1" ht="13.5" hidden="1" outlineLevel="1" x14ac:dyDescent="0.25">
      <c r="A287" s="724">
        <f t="shared" si="35"/>
        <v>265</v>
      </c>
      <c r="B287" s="608"/>
      <c r="C287" s="543" t="s">
        <v>666</v>
      </c>
      <c r="D287" s="543"/>
      <c r="E287" s="552" t="s">
        <v>0</v>
      </c>
      <c r="F287" s="553">
        <f>F288</f>
        <v>681</v>
      </c>
      <c r="G287" s="584">
        <v>0</v>
      </c>
      <c r="H287" s="584">
        <v>5600</v>
      </c>
      <c r="I287" s="584">
        <f>I288</f>
        <v>5090475</v>
      </c>
      <c r="J287" s="584">
        <f>H287*F287</f>
        <v>3813600</v>
      </c>
      <c r="K287" s="700">
        <f t="shared" si="31"/>
        <v>8904075</v>
      </c>
      <c r="L287" s="349"/>
      <c r="M287" s="543"/>
    </row>
    <row r="288" spans="1:34" s="257" customFormat="1" hidden="1" outlineLevel="2" x14ac:dyDescent="0.25">
      <c r="A288" s="724">
        <f t="shared" si="35"/>
        <v>266</v>
      </c>
      <c r="B288" s="611"/>
      <c r="C288" s="191" t="s">
        <v>414</v>
      </c>
      <c r="D288" s="191"/>
      <c r="E288" s="551" t="s">
        <v>0</v>
      </c>
      <c r="F288" s="555">
        <v>681</v>
      </c>
      <c r="G288" s="464">
        <v>7475</v>
      </c>
      <c r="H288" s="464">
        <v>0</v>
      </c>
      <c r="I288" s="464">
        <f t="shared" si="34"/>
        <v>5090475</v>
      </c>
      <c r="J288" s="464">
        <v>0</v>
      </c>
      <c r="K288" s="556">
        <f t="shared" si="31"/>
        <v>5090475</v>
      </c>
      <c r="L288" s="360"/>
      <c r="M288" s="179"/>
    </row>
    <row r="289" spans="1:34" s="426" customFormat="1" ht="13.5" hidden="1" outlineLevel="1" x14ac:dyDescent="0.25">
      <c r="A289" s="724">
        <f t="shared" si="35"/>
        <v>267</v>
      </c>
      <c r="B289" s="612" t="s">
        <v>717</v>
      </c>
      <c r="C289" s="372" t="s">
        <v>443</v>
      </c>
      <c r="D289" s="372"/>
      <c r="E289" s="632"/>
      <c r="F289" s="372"/>
      <c r="G289" s="589"/>
      <c r="H289" s="588"/>
      <c r="I289" s="588">
        <f>SUMIF(G290:G305,G290,I290:I305)</f>
        <v>20603836.5</v>
      </c>
      <c r="J289" s="588">
        <f>SUMIF(G290:G305,G290,J290:J305)</f>
        <v>13620125.699999999</v>
      </c>
      <c r="K289" s="710">
        <f t="shared" ref="K289:K305" si="36">SUM(I289:J289)</f>
        <v>34223962.200000003</v>
      </c>
      <c r="L289" s="300"/>
      <c r="M289" s="259"/>
      <c r="N289" s="425"/>
      <c r="O289" s="425"/>
      <c r="P289" s="425"/>
      <c r="Q289" s="425"/>
      <c r="R289" s="425"/>
      <c r="S289" s="425"/>
      <c r="T289" s="425"/>
      <c r="U289" s="425"/>
      <c r="V289" s="425"/>
      <c r="W289" s="425"/>
      <c r="X289" s="425"/>
      <c r="Y289" s="425"/>
      <c r="Z289" s="425"/>
      <c r="AA289" s="425"/>
      <c r="AB289" s="425"/>
      <c r="AC289" s="425"/>
      <c r="AD289" s="425"/>
      <c r="AE289" s="425"/>
      <c r="AF289" s="425"/>
      <c r="AG289" s="425"/>
      <c r="AH289" s="425"/>
    </row>
    <row r="290" spans="1:34" s="425" customFormat="1" ht="13.5" hidden="1" outlineLevel="1" x14ac:dyDescent="0.25">
      <c r="A290" s="724">
        <f t="shared" si="35"/>
        <v>268</v>
      </c>
      <c r="B290" s="608"/>
      <c r="C290" s="543" t="s">
        <v>672</v>
      </c>
      <c r="D290" s="543"/>
      <c r="E290" s="552" t="s">
        <v>0</v>
      </c>
      <c r="F290" s="548">
        <f>F291</f>
        <v>226</v>
      </c>
      <c r="G290" s="584">
        <v>0</v>
      </c>
      <c r="H290" s="584">
        <v>5600</v>
      </c>
      <c r="I290" s="584">
        <f>I291</f>
        <v>1250910</v>
      </c>
      <c r="J290" s="584">
        <f>H290*F290</f>
        <v>1265600</v>
      </c>
      <c r="K290" s="700">
        <f t="shared" si="36"/>
        <v>2516510</v>
      </c>
      <c r="L290" s="585"/>
      <c r="M290" s="543"/>
    </row>
    <row r="291" spans="1:34" s="257" customFormat="1" hidden="1" outlineLevel="2" x14ac:dyDescent="0.25">
      <c r="A291" s="724">
        <f t="shared" si="35"/>
        <v>269</v>
      </c>
      <c r="B291" s="363"/>
      <c r="C291" s="367" t="s">
        <v>662</v>
      </c>
      <c r="D291" s="367"/>
      <c r="E291" s="551" t="s">
        <v>0</v>
      </c>
      <c r="F291" s="546">
        <v>226</v>
      </c>
      <c r="G291" s="464">
        <v>5535</v>
      </c>
      <c r="H291" s="464">
        <v>0</v>
      </c>
      <c r="I291" s="464">
        <f t="shared" ref="I291:I305" si="37">G291*F291</f>
        <v>1250910</v>
      </c>
      <c r="J291" s="464">
        <v>0</v>
      </c>
      <c r="K291" s="556">
        <f t="shared" si="36"/>
        <v>1250910</v>
      </c>
      <c r="L291" s="360"/>
      <c r="M291" s="360"/>
    </row>
    <row r="292" spans="1:34" s="425" customFormat="1" ht="13.5" hidden="1" outlineLevel="1" x14ac:dyDescent="0.25">
      <c r="A292" s="724">
        <f t="shared" si="35"/>
        <v>270</v>
      </c>
      <c r="B292" s="608"/>
      <c r="C292" s="547" t="s">
        <v>383</v>
      </c>
      <c r="D292" s="547"/>
      <c r="E292" s="552" t="s">
        <v>0</v>
      </c>
      <c r="F292" s="548">
        <f>F293</f>
        <v>111</v>
      </c>
      <c r="G292" s="584">
        <v>0</v>
      </c>
      <c r="H292" s="584">
        <v>5600</v>
      </c>
      <c r="I292" s="584">
        <f>I293</f>
        <v>762570</v>
      </c>
      <c r="J292" s="584">
        <f>H292*F292</f>
        <v>621600</v>
      </c>
      <c r="K292" s="700">
        <f t="shared" si="36"/>
        <v>1384170</v>
      </c>
      <c r="L292" s="543"/>
      <c r="M292" s="543"/>
    </row>
    <row r="293" spans="1:34" s="257" customFormat="1" hidden="1" outlineLevel="2" x14ac:dyDescent="0.25">
      <c r="A293" s="724">
        <f t="shared" si="35"/>
        <v>271</v>
      </c>
      <c r="B293" s="363"/>
      <c r="C293" s="250" t="s">
        <v>293</v>
      </c>
      <c r="D293" s="250"/>
      <c r="E293" s="551" t="s">
        <v>0</v>
      </c>
      <c r="F293" s="546">
        <v>111</v>
      </c>
      <c r="G293" s="464">
        <v>6870</v>
      </c>
      <c r="H293" s="464">
        <v>0</v>
      </c>
      <c r="I293" s="464">
        <f t="shared" si="37"/>
        <v>762570</v>
      </c>
      <c r="J293" s="464">
        <v>0</v>
      </c>
      <c r="K293" s="556">
        <f t="shared" si="36"/>
        <v>762570</v>
      </c>
      <c r="L293" s="367"/>
      <c r="M293" s="360"/>
    </row>
    <row r="294" spans="1:34" s="425" customFormat="1" ht="13.5" hidden="1" outlineLevel="1" x14ac:dyDescent="0.25">
      <c r="A294" s="724">
        <f t="shared" si="35"/>
        <v>272</v>
      </c>
      <c r="B294" s="608"/>
      <c r="C294" s="547" t="s">
        <v>438</v>
      </c>
      <c r="D294" s="547"/>
      <c r="E294" s="552" t="s">
        <v>390</v>
      </c>
      <c r="F294" s="548">
        <v>140</v>
      </c>
      <c r="G294" s="584">
        <v>0</v>
      </c>
      <c r="H294" s="584">
        <v>222</v>
      </c>
      <c r="I294" s="584">
        <f>I295</f>
        <v>88620</v>
      </c>
      <c r="J294" s="584">
        <v>31080</v>
      </c>
      <c r="K294" s="700">
        <f t="shared" si="36"/>
        <v>119700</v>
      </c>
      <c r="L294" s="585"/>
      <c r="M294" s="543"/>
    </row>
    <row r="295" spans="1:34" s="257" customFormat="1" hidden="1" outlineLevel="2" x14ac:dyDescent="0.25">
      <c r="A295" s="724">
        <f t="shared" si="35"/>
        <v>273</v>
      </c>
      <c r="B295" s="363"/>
      <c r="C295" s="550" t="s">
        <v>391</v>
      </c>
      <c r="D295" s="550"/>
      <c r="E295" s="551" t="s">
        <v>390</v>
      </c>
      <c r="F295" s="546">
        <v>140</v>
      </c>
      <c r="G295" s="464">
        <v>633</v>
      </c>
      <c r="H295" s="461">
        <v>0</v>
      </c>
      <c r="I295" s="464">
        <f t="shared" si="37"/>
        <v>88620</v>
      </c>
      <c r="J295" s="464">
        <v>0</v>
      </c>
      <c r="K295" s="556">
        <f t="shared" si="36"/>
        <v>88620</v>
      </c>
      <c r="L295" s="299"/>
      <c r="M295" s="360"/>
    </row>
    <row r="296" spans="1:34" s="425" customFormat="1" ht="13.5" hidden="1" outlineLevel="1" x14ac:dyDescent="0.25">
      <c r="A296" s="724">
        <f t="shared" si="35"/>
        <v>274</v>
      </c>
      <c r="B296" s="608"/>
      <c r="C296" s="543" t="s">
        <v>667</v>
      </c>
      <c r="D296" s="543"/>
      <c r="E296" s="552" t="s">
        <v>33</v>
      </c>
      <c r="F296" s="560">
        <f>SUM(F297:F303)</f>
        <v>145.85300000000001</v>
      </c>
      <c r="G296" s="584">
        <v>0</v>
      </c>
      <c r="H296" s="584">
        <v>26900</v>
      </c>
      <c r="I296" s="584">
        <f>SUM(I297:I303)</f>
        <v>8118961.5</v>
      </c>
      <c r="J296" s="584">
        <f>H296*F296</f>
        <v>3923445.7</v>
      </c>
      <c r="K296" s="700">
        <f t="shared" si="36"/>
        <v>12042407.199999999</v>
      </c>
      <c r="L296" s="349"/>
      <c r="M296" s="543"/>
    </row>
    <row r="297" spans="1:34" s="257" customFormat="1" hidden="1" outlineLevel="2" x14ac:dyDescent="0.25">
      <c r="A297" s="724">
        <f t="shared" si="35"/>
        <v>275</v>
      </c>
      <c r="B297" s="363"/>
      <c r="C297" s="533" t="s">
        <v>401</v>
      </c>
      <c r="D297" s="533"/>
      <c r="E297" s="551" t="s">
        <v>33</v>
      </c>
      <c r="F297" s="593">
        <f>15160.56/1000</f>
        <v>15.161</v>
      </c>
      <c r="G297" s="464">
        <v>58150</v>
      </c>
      <c r="H297" s="464">
        <v>0</v>
      </c>
      <c r="I297" s="464">
        <f t="shared" si="37"/>
        <v>881612.15</v>
      </c>
      <c r="J297" s="464">
        <v>0</v>
      </c>
      <c r="K297" s="556">
        <f t="shared" si="36"/>
        <v>881612.15</v>
      </c>
      <c r="L297" s="299"/>
      <c r="M297" s="360"/>
    </row>
    <row r="298" spans="1:34" s="257" customFormat="1" hidden="1" outlineLevel="2" x14ac:dyDescent="0.25">
      <c r="A298" s="724">
        <f t="shared" si="35"/>
        <v>276</v>
      </c>
      <c r="B298" s="363"/>
      <c r="C298" s="533" t="s">
        <v>426</v>
      </c>
      <c r="D298" s="533"/>
      <c r="E298" s="551" t="s">
        <v>33</v>
      </c>
      <c r="F298" s="593">
        <f>816.52/1000</f>
        <v>0.81699999999999995</v>
      </c>
      <c r="G298" s="464">
        <v>58900</v>
      </c>
      <c r="H298" s="464">
        <v>0</v>
      </c>
      <c r="I298" s="464">
        <f t="shared" si="37"/>
        <v>48121.3</v>
      </c>
      <c r="J298" s="464">
        <v>0</v>
      </c>
      <c r="K298" s="556">
        <f t="shared" si="36"/>
        <v>48121.3</v>
      </c>
      <c r="L298" s="299"/>
      <c r="M298" s="360"/>
    </row>
    <row r="299" spans="1:34" s="257" customFormat="1" hidden="1" outlineLevel="2" x14ac:dyDescent="0.25">
      <c r="A299" s="724">
        <f t="shared" si="35"/>
        <v>277</v>
      </c>
      <c r="B299" s="363"/>
      <c r="C299" s="533" t="s">
        <v>440</v>
      </c>
      <c r="D299" s="533"/>
      <c r="E299" s="551" t="s">
        <v>33</v>
      </c>
      <c r="F299" s="593">
        <f>95231.85/1000</f>
        <v>95.231999999999999</v>
      </c>
      <c r="G299" s="464">
        <v>55350</v>
      </c>
      <c r="H299" s="464">
        <v>0</v>
      </c>
      <c r="I299" s="464">
        <f t="shared" si="37"/>
        <v>5271091.2000000002</v>
      </c>
      <c r="J299" s="464">
        <v>0</v>
      </c>
      <c r="K299" s="556">
        <f t="shared" si="36"/>
        <v>5271091.2000000002</v>
      </c>
      <c r="L299" s="299"/>
      <c r="M299" s="360"/>
    </row>
    <row r="300" spans="1:34" s="257" customFormat="1" hidden="1" outlineLevel="2" x14ac:dyDescent="0.25">
      <c r="A300" s="724">
        <f t="shared" si="35"/>
        <v>278</v>
      </c>
      <c r="B300" s="363"/>
      <c r="C300" s="533" t="s">
        <v>428</v>
      </c>
      <c r="D300" s="533"/>
      <c r="E300" s="551" t="s">
        <v>33</v>
      </c>
      <c r="F300" s="593">
        <f>4538.62/1000</f>
        <v>4.5389999999999997</v>
      </c>
      <c r="G300" s="464">
        <v>55350</v>
      </c>
      <c r="H300" s="464">
        <v>0</v>
      </c>
      <c r="I300" s="464">
        <f t="shared" si="37"/>
        <v>251233.65</v>
      </c>
      <c r="J300" s="464">
        <v>0</v>
      </c>
      <c r="K300" s="556">
        <f t="shared" si="36"/>
        <v>251233.65</v>
      </c>
      <c r="L300" s="299"/>
      <c r="M300" s="360"/>
    </row>
    <row r="301" spans="1:34" s="257" customFormat="1" hidden="1" outlineLevel="2" x14ac:dyDescent="0.25">
      <c r="A301" s="724">
        <f t="shared" si="35"/>
        <v>279</v>
      </c>
      <c r="B301" s="363"/>
      <c r="C301" s="533" t="s">
        <v>429</v>
      </c>
      <c r="D301" s="533"/>
      <c r="E301" s="551" t="s">
        <v>33</v>
      </c>
      <c r="F301" s="593">
        <f>10942.29/1000</f>
        <v>10.942</v>
      </c>
      <c r="G301" s="464">
        <v>55350</v>
      </c>
      <c r="H301" s="464">
        <v>0</v>
      </c>
      <c r="I301" s="464">
        <f t="shared" si="37"/>
        <v>605639.69999999995</v>
      </c>
      <c r="J301" s="464">
        <v>0</v>
      </c>
      <c r="K301" s="556">
        <f t="shared" si="36"/>
        <v>605639.69999999995</v>
      </c>
      <c r="L301" s="299"/>
      <c r="M301" s="360"/>
    </row>
    <row r="302" spans="1:34" s="257" customFormat="1" hidden="1" outlineLevel="2" x14ac:dyDescent="0.25">
      <c r="A302" s="724">
        <f t="shared" si="35"/>
        <v>280</v>
      </c>
      <c r="B302" s="363"/>
      <c r="C302" s="534" t="s">
        <v>430</v>
      </c>
      <c r="D302" s="534"/>
      <c r="E302" s="551" t="s">
        <v>33</v>
      </c>
      <c r="F302" s="593">
        <f>17985.66/1000</f>
        <v>17.986000000000001</v>
      </c>
      <c r="G302" s="464">
        <v>55350</v>
      </c>
      <c r="H302" s="464">
        <v>0</v>
      </c>
      <c r="I302" s="464">
        <f t="shared" si="37"/>
        <v>995525.1</v>
      </c>
      <c r="J302" s="464">
        <v>0</v>
      </c>
      <c r="K302" s="556">
        <f t="shared" si="36"/>
        <v>995525.1</v>
      </c>
      <c r="L302" s="299"/>
      <c r="M302" s="360"/>
    </row>
    <row r="303" spans="1:34" s="257" customFormat="1" hidden="1" outlineLevel="2" x14ac:dyDescent="0.25">
      <c r="A303" s="724">
        <f t="shared" si="35"/>
        <v>281</v>
      </c>
      <c r="B303" s="363"/>
      <c r="C303" s="533" t="s">
        <v>431</v>
      </c>
      <c r="D303" s="533"/>
      <c r="E303" s="551" t="s">
        <v>33</v>
      </c>
      <c r="F303" s="593">
        <f>1175.66/1000</f>
        <v>1.1759999999999999</v>
      </c>
      <c r="G303" s="464">
        <v>55900</v>
      </c>
      <c r="H303" s="464">
        <v>0</v>
      </c>
      <c r="I303" s="464">
        <f t="shared" si="37"/>
        <v>65738.399999999994</v>
      </c>
      <c r="J303" s="464">
        <v>0</v>
      </c>
      <c r="K303" s="556">
        <f t="shared" si="36"/>
        <v>65738.399999999994</v>
      </c>
      <c r="L303" s="299"/>
      <c r="M303" s="360"/>
    </row>
    <row r="304" spans="1:34" s="425" customFormat="1" ht="13.5" hidden="1" outlineLevel="1" x14ac:dyDescent="0.25">
      <c r="A304" s="724">
        <f t="shared" si="35"/>
        <v>282</v>
      </c>
      <c r="B304" s="608"/>
      <c r="C304" s="543" t="s">
        <v>668</v>
      </c>
      <c r="D304" s="543"/>
      <c r="E304" s="552" t="s">
        <v>0</v>
      </c>
      <c r="F304" s="548">
        <f>F305</f>
        <v>1389</v>
      </c>
      <c r="G304" s="584">
        <v>0</v>
      </c>
      <c r="H304" s="584">
        <v>5600</v>
      </c>
      <c r="I304" s="584">
        <f>I305</f>
        <v>10382775</v>
      </c>
      <c r="J304" s="584">
        <f>H304*F304</f>
        <v>7778400</v>
      </c>
      <c r="K304" s="700">
        <f t="shared" si="36"/>
        <v>18161175</v>
      </c>
      <c r="L304" s="349"/>
      <c r="M304" s="543"/>
    </row>
    <row r="305" spans="1:34" s="257" customFormat="1" hidden="1" outlineLevel="2" x14ac:dyDescent="0.25">
      <c r="A305" s="724">
        <f t="shared" si="35"/>
        <v>283</v>
      </c>
      <c r="B305" s="611"/>
      <c r="C305" s="191" t="s">
        <v>414</v>
      </c>
      <c r="D305" s="191"/>
      <c r="E305" s="551" t="s">
        <v>0</v>
      </c>
      <c r="F305" s="546">
        <v>1389</v>
      </c>
      <c r="G305" s="464">
        <v>7475</v>
      </c>
      <c r="H305" s="464">
        <v>0</v>
      </c>
      <c r="I305" s="464">
        <f t="shared" si="37"/>
        <v>10382775</v>
      </c>
      <c r="J305" s="464">
        <v>0</v>
      </c>
      <c r="K305" s="556">
        <f t="shared" si="36"/>
        <v>10382775</v>
      </c>
      <c r="L305" s="299"/>
      <c r="M305" s="360"/>
    </row>
    <row r="306" spans="1:34" s="34" customFormat="1" ht="38.25" collapsed="1" x14ac:dyDescent="0.25">
      <c r="A306" s="724">
        <f t="shared" si="35"/>
        <v>284</v>
      </c>
      <c r="B306" s="602" t="s">
        <v>582</v>
      </c>
      <c r="C306" s="376" t="s">
        <v>123</v>
      </c>
      <c r="D306" s="376"/>
      <c r="E306" s="395" t="s">
        <v>33</v>
      </c>
      <c r="F306" s="414">
        <f>SUM(F307:F310)</f>
        <v>96.739000000000004</v>
      </c>
      <c r="G306" s="504">
        <f>SUM(G307:G315)</f>
        <v>370351</v>
      </c>
      <c r="H306" s="445">
        <f>SUM(H307:H315)</f>
        <v>28750</v>
      </c>
      <c r="I306" s="458">
        <f>I310</f>
        <v>1763869.9</v>
      </c>
      <c r="J306" s="458">
        <f>J310</f>
        <v>615853.75</v>
      </c>
      <c r="K306" s="458">
        <f>SUM(I306:J306)</f>
        <v>2379723.65</v>
      </c>
      <c r="L306" s="417" t="s">
        <v>673</v>
      </c>
      <c r="M306" s="28"/>
      <c r="N306" s="341"/>
      <c r="O306" s="341"/>
      <c r="P306" s="341"/>
      <c r="Q306" s="341"/>
      <c r="R306" s="341"/>
      <c r="S306" s="341"/>
      <c r="T306" s="341"/>
      <c r="U306" s="341"/>
      <c r="V306" s="341"/>
      <c r="W306" s="341"/>
      <c r="X306" s="341"/>
      <c r="Y306" s="341"/>
      <c r="Z306" s="341"/>
      <c r="AA306" s="341"/>
      <c r="AB306" s="341"/>
      <c r="AC306" s="341"/>
      <c r="AD306" s="341"/>
      <c r="AE306" s="341"/>
      <c r="AF306" s="341"/>
      <c r="AG306" s="341"/>
      <c r="AH306" s="341"/>
    </row>
    <row r="307" spans="1:34" s="341" customFormat="1" ht="13.5" hidden="1" outlineLevel="1" x14ac:dyDescent="0.25">
      <c r="A307" s="724">
        <f t="shared" si="35"/>
        <v>285</v>
      </c>
      <c r="B307" s="605" t="s">
        <v>417</v>
      </c>
      <c r="C307" s="335" t="s">
        <v>13</v>
      </c>
      <c r="D307" s="335"/>
      <c r="E307" s="336" t="s">
        <v>33</v>
      </c>
      <c r="F307" s="562">
        <f>11782.1/1000</f>
        <v>11.782</v>
      </c>
      <c r="G307" s="584">
        <v>0</v>
      </c>
      <c r="H307" s="584">
        <v>0</v>
      </c>
      <c r="I307" s="584">
        <f t="shared" ref="I307:I315" si="38">G307*F307</f>
        <v>0</v>
      </c>
      <c r="J307" s="584">
        <f>H307*F307</f>
        <v>0</v>
      </c>
      <c r="K307" s="584">
        <f t="shared" ref="K307:K315" si="39">I307+J307</f>
        <v>0</v>
      </c>
      <c r="L307" s="563" t="s">
        <v>40</v>
      </c>
      <c r="M307" s="747" t="s">
        <v>631</v>
      </c>
    </row>
    <row r="308" spans="1:34" s="341" customFormat="1" ht="13.5" hidden="1" outlineLevel="1" x14ac:dyDescent="0.25">
      <c r="A308" s="724">
        <f t="shared" si="35"/>
        <v>286</v>
      </c>
      <c r="B308" s="605" t="s">
        <v>418</v>
      </c>
      <c r="C308" s="335" t="s">
        <v>14</v>
      </c>
      <c r="D308" s="335"/>
      <c r="E308" s="336" t="s">
        <v>33</v>
      </c>
      <c r="F308" s="562">
        <f>46848.5/1000</f>
        <v>46.848999999999997</v>
      </c>
      <c r="G308" s="584">
        <v>0</v>
      </c>
      <c r="H308" s="584">
        <v>0</v>
      </c>
      <c r="I308" s="584">
        <f t="shared" si="38"/>
        <v>0</v>
      </c>
      <c r="J308" s="584">
        <f>H308*F308</f>
        <v>0</v>
      </c>
      <c r="K308" s="584">
        <f t="shared" si="39"/>
        <v>0</v>
      </c>
      <c r="L308" s="563" t="s">
        <v>40</v>
      </c>
      <c r="M308" s="748"/>
    </row>
    <row r="309" spans="1:34" s="338" customFormat="1" ht="13.5" hidden="1" outlineLevel="1" x14ac:dyDescent="0.25">
      <c r="A309" s="724">
        <f t="shared" si="35"/>
        <v>287</v>
      </c>
      <c r="B309" s="605" t="s">
        <v>421</v>
      </c>
      <c r="C309" s="335" t="s">
        <v>15</v>
      </c>
      <c r="D309" s="335"/>
      <c r="E309" s="336" t="s">
        <v>33</v>
      </c>
      <c r="F309" s="562">
        <f>16687.1/1000</f>
        <v>16.687000000000001</v>
      </c>
      <c r="G309" s="584">
        <v>0</v>
      </c>
      <c r="H309" s="584">
        <v>0</v>
      </c>
      <c r="I309" s="584">
        <f t="shared" si="38"/>
        <v>0</v>
      </c>
      <c r="J309" s="584">
        <f>H309*F309</f>
        <v>0</v>
      </c>
      <c r="K309" s="584">
        <f t="shared" si="39"/>
        <v>0</v>
      </c>
      <c r="L309" s="563" t="s">
        <v>40</v>
      </c>
      <c r="M309" s="749"/>
    </row>
    <row r="310" spans="1:34" s="338" customFormat="1" ht="13.5" hidden="1" outlineLevel="1" collapsed="1" x14ac:dyDescent="0.25">
      <c r="A310" s="724">
        <f t="shared" si="35"/>
        <v>288</v>
      </c>
      <c r="B310" s="605" t="s">
        <v>422</v>
      </c>
      <c r="C310" s="335" t="s">
        <v>34</v>
      </c>
      <c r="D310" s="335"/>
      <c r="E310" s="336" t="s">
        <v>33</v>
      </c>
      <c r="F310" s="562">
        <f>SUM(F311:F315)</f>
        <v>21.420999999999999</v>
      </c>
      <c r="G310" s="584">
        <v>0</v>
      </c>
      <c r="H310" s="584">
        <v>28750</v>
      </c>
      <c r="I310" s="584">
        <f>SUM(I311:I315)</f>
        <v>1763869.9</v>
      </c>
      <c r="J310" s="584">
        <f>H310*F310</f>
        <v>615853.75</v>
      </c>
      <c r="K310" s="584">
        <f t="shared" si="39"/>
        <v>2379723.65</v>
      </c>
      <c r="L310" s="557"/>
      <c r="M310" s="337"/>
    </row>
    <row r="311" spans="1:34" s="252" customFormat="1" hidden="1" outlineLevel="1" x14ac:dyDescent="0.25">
      <c r="A311" s="724">
        <f t="shared" si="35"/>
        <v>289</v>
      </c>
      <c r="B311" s="249"/>
      <c r="C311" s="191" t="s">
        <v>399</v>
      </c>
      <c r="D311" s="191"/>
      <c r="E311" s="177" t="s">
        <v>33</v>
      </c>
      <c r="F311" s="564">
        <f>31.44/1000</f>
        <v>3.1E-2</v>
      </c>
      <c r="G311" s="444">
        <v>58490</v>
      </c>
      <c r="H311" s="444">
        <v>0</v>
      </c>
      <c r="I311" s="444">
        <f t="shared" si="38"/>
        <v>1813.19</v>
      </c>
      <c r="J311" s="444">
        <v>0</v>
      </c>
      <c r="K311" s="444">
        <f t="shared" si="39"/>
        <v>1813.19</v>
      </c>
      <c r="L311" s="727"/>
      <c r="M311" s="193"/>
    </row>
    <row r="312" spans="1:34" s="252" customFormat="1" hidden="1" outlineLevel="1" x14ac:dyDescent="0.25">
      <c r="A312" s="724">
        <f t="shared" si="35"/>
        <v>290</v>
      </c>
      <c r="B312" s="249"/>
      <c r="C312" s="176" t="s">
        <v>36</v>
      </c>
      <c r="D312" s="176"/>
      <c r="E312" s="177" t="s">
        <v>33</v>
      </c>
      <c r="F312" s="564">
        <f>1113.8/1000</f>
        <v>1.1140000000000001</v>
      </c>
      <c r="G312" s="444">
        <v>78100</v>
      </c>
      <c r="H312" s="444">
        <v>0</v>
      </c>
      <c r="I312" s="444">
        <f t="shared" si="38"/>
        <v>87003.4</v>
      </c>
      <c r="J312" s="444">
        <v>0</v>
      </c>
      <c r="K312" s="444">
        <f t="shared" si="39"/>
        <v>87003.4</v>
      </c>
      <c r="L312" s="727"/>
      <c r="M312" s="193"/>
    </row>
    <row r="313" spans="1:34" s="252" customFormat="1" hidden="1" outlineLevel="1" x14ac:dyDescent="0.25">
      <c r="A313" s="724">
        <f t="shared" si="35"/>
        <v>291</v>
      </c>
      <c r="B313" s="249"/>
      <c r="C313" s="176" t="s">
        <v>37</v>
      </c>
      <c r="D313" s="176"/>
      <c r="E313" s="177" t="s">
        <v>33</v>
      </c>
      <c r="F313" s="564">
        <f>15915.31/1000</f>
        <v>15.914999999999999</v>
      </c>
      <c r="G313" s="444">
        <v>83100</v>
      </c>
      <c r="H313" s="444">
        <v>0</v>
      </c>
      <c r="I313" s="444">
        <f t="shared" si="38"/>
        <v>1322536.5</v>
      </c>
      <c r="J313" s="444">
        <v>0</v>
      </c>
      <c r="K313" s="444">
        <f t="shared" si="39"/>
        <v>1322536.5</v>
      </c>
      <c r="L313" s="727"/>
      <c r="M313" s="193"/>
    </row>
    <row r="314" spans="1:34" s="252" customFormat="1" hidden="1" outlineLevel="1" x14ac:dyDescent="0.25">
      <c r="A314" s="724">
        <f t="shared" si="35"/>
        <v>292</v>
      </c>
      <c r="B314" s="249"/>
      <c r="C314" s="176" t="s">
        <v>38</v>
      </c>
      <c r="D314" s="176"/>
      <c r="E314" s="177" t="s">
        <v>33</v>
      </c>
      <c r="F314" s="564">
        <f>3052.08/1000</f>
        <v>3.052</v>
      </c>
      <c r="G314" s="444">
        <v>89100</v>
      </c>
      <c r="H314" s="444">
        <v>0</v>
      </c>
      <c r="I314" s="444">
        <f t="shared" si="38"/>
        <v>271933.2</v>
      </c>
      <c r="J314" s="444">
        <v>0</v>
      </c>
      <c r="K314" s="444">
        <f t="shared" si="39"/>
        <v>271933.2</v>
      </c>
      <c r="L314" s="727"/>
      <c r="M314" s="193"/>
    </row>
    <row r="315" spans="1:34" s="252" customFormat="1" hidden="1" outlineLevel="1" x14ac:dyDescent="0.25">
      <c r="A315" s="724">
        <f t="shared" si="35"/>
        <v>293</v>
      </c>
      <c r="B315" s="249"/>
      <c r="C315" s="565" t="s">
        <v>39</v>
      </c>
      <c r="D315" s="565"/>
      <c r="E315" s="177" t="s">
        <v>33</v>
      </c>
      <c r="F315" s="564">
        <f>1309.3/1000</f>
        <v>1.3089999999999999</v>
      </c>
      <c r="G315" s="444">
        <v>61561.2</v>
      </c>
      <c r="H315" s="444">
        <v>0</v>
      </c>
      <c r="I315" s="444">
        <f t="shared" si="38"/>
        <v>80583.61</v>
      </c>
      <c r="J315" s="444">
        <v>0</v>
      </c>
      <c r="K315" s="444">
        <f t="shared" si="39"/>
        <v>80583.61</v>
      </c>
      <c r="L315" s="727"/>
      <c r="M315" s="193"/>
    </row>
    <row r="316" spans="1:34" s="338" customFormat="1" ht="25.5" collapsed="1" x14ac:dyDescent="0.25">
      <c r="A316" s="724">
        <f t="shared" si="35"/>
        <v>294</v>
      </c>
      <c r="B316" s="602" t="s">
        <v>87</v>
      </c>
      <c r="C316" s="376" t="s">
        <v>735</v>
      </c>
      <c r="D316" s="376"/>
      <c r="E316" s="395" t="s">
        <v>0</v>
      </c>
      <c r="F316" s="418">
        <v>35.200000000000003</v>
      </c>
      <c r="G316" s="478">
        <f>SUM(G317:G318)</f>
        <v>83635</v>
      </c>
      <c r="H316" s="478">
        <f>SUM(H317:H318)</f>
        <v>34350</v>
      </c>
      <c r="I316" s="478">
        <f>SUM(I317:I318)</f>
        <v>359779.2</v>
      </c>
      <c r="J316" s="478">
        <f t="shared" ref="J316" si="40">SUM(J317:J318)</f>
        <v>257840</v>
      </c>
      <c r="K316" s="478">
        <f t="shared" ref="K316:K323" si="41">SUM(I316:J316)</f>
        <v>617619.19999999995</v>
      </c>
      <c r="L316" s="419"/>
      <c r="M316" s="337"/>
    </row>
    <row r="317" spans="1:34" s="1" customFormat="1" hidden="1" outlineLevel="1" x14ac:dyDescent="0.25">
      <c r="A317" s="724">
        <f t="shared" si="35"/>
        <v>295</v>
      </c>
      <c r="B317" s="681"/>
      <c r="C317" s="687" t="s">
        <v>1302</v>
      </c>
      <c r="D317" s="687"/>
      <c r="E317" s="688" t="s">
        <v>33</v>
      </c>
      <c r="F317" s="689">
        <v>2.1120000000000001</v>
      </c>
      <c r="G317" s="684">
        <v>78100</v>
      </c>
      <c r="H317" s="683">
        <v>28750</v>
      </c>
      <c r="I317" s="684">
        <f t="shared" ref="I317" si="42">G317*F317</f>
        <v>164947.20000000001</v>
      </c>
      <c r="J317" s="684">
        <f>H317*F317</f>
        <v>60720</v>
      </c>
      <c r="K317" s="695">
        <f t="shared" si="41"/>
        <v>225667.20000000001</v>
      </c>
      <c r="L317" s="690"/>
      <c r="M317" s="337" t="s">
        <v>1301</v>
      </c>
    </row>
    <row r="318" spans="1:34" s="1" customFormat="1" hidden="1" outlineLevel="1" x14ac:dyDescent="0.25">
      <c r="A318" s="724">
        <f t="shared" si="35"/>
        <v>296</v>
      </c>
      <c r="B318" s="681"/>
      <c r="C318" s="687" t="s">
        <v>662</v>
      </c>
      <c r="D318" s="687"/>
      <c r="E318" s="57" t="s">
        <v>0</v>
      </c>
      <c r="F318" s="682">
        <v>35.200000000000003</v>
      </c>
      <c r="G318" s="684">
        <v>5535</v>
      </c>
      <c r="H318" s="683">
        <v>5600</v>
      </c>
      <c r="I318" s="684">
        <f>G318*F318</f>
        <v>194832</v>
      </c>
      <c r="J318" s="684">
        <f t="shared" ref="J318" si="43">H318*F318</f>
        <v>197120</v>
      </c>
      <c r="K318" s="695">
        <f t="shared" si="41"/>
        <v>391952</v>
      </c>
      <c r="L318" s="690"/>
      <c r="M318" s="337" t="s">
        <v>1301</v>
      </c>
    </row>
    <row r="319" spans="1:34" s="341" customFormat="1" ht="22.5" customHeight="1" x14ac:dyDescent="0.25">
      <c r="A319" s="724">
        <f t="shared" si="35"/>
        <v>297</v>
      </c>
      <c r="B319" s="638"/>
      <c r="C319" s="128" t="s">
        <v>714</v>
      </c>
      <c r="D319" s="128"/>
      <c r="E319" s="629"/>
      <c r="F319" s="639"/>
      <c r="G319" s="640"/>
      <c r="H319" s="640"/>
      <c r="I319" s="640">
        <f>I320+I467+I486+I488</f>
        <v>79242418.959999993</v>
      </c>
      <c r="J319" s="640">
        <f>J320+J467+J486+J488</f>
        <v>40476481.5</v>
      </c>
      <c r="K319" s="640">
        <f t="shared" si="41"/>
        <v>119718900.45999999</v>
      </c>
      <c r="L319" s="641"/>
      <c r="M319" s="342"/>
    </row>
    <row r="320" spans="1:34" s="34" customFormat="1" ht="13.5" collapsed="1" x14ac:dyDescent="0.25">
      <c r="A320" s="724">
        <f t="shared" si="35"/>
        <v>298</v>
      </c>
      <c r="B320" s="613" t="s">
        <v>7</v>
      </c>
      <c r="C320" s="376" t="s">
        <v>704</v>
      </c>
      <c r="D320" s="376"/>
      <c r="E320" s="395" t="s">
        <v>0</v>
      </c>
      <c r="F320" s="396">
        <f>F324+F328</f>
        <v>2600</v>
      </c>
      <c r="G320" s="458">
        <f>I320/F320</f>
        <v>26295.74</v>
      </c>
      <c r="H320" s="458">
        <f>J320/F320</f>
        <v>11578.56</v>
      </c>
      <c r="I320" s="458">
        <f>I329+I357+I387+I406</f>
        <v>68368935.950000003</v>
      </c>
      <c r="J320" s="458">
        <f>J329+J357+J387+J406</f>
        <v>30104266.5</v>
      </c>
      <c r="K320" s="458">
        <f>K329+K357+K387+K406</f>
        <v>98473202.450000003</v>
      </c>
      <c r="L320" s="387"/>
      <c r="M320" s="28"/>
      <c r="N320" s="341"/>
      <c r="O320" s="341"/>
      <c r="P320" s="341"/>
      <c r="Q320" s="341"/>
      <c r="R320" s="341"/>
      <c r="S320" s="341"/>
      <c r="T320" s="341"/>
      <c r="U320" s="341"/>
      <c r="V320" s="341"/>
      <c r="W320" s="341"/>
      <c r="X320" s="341"/>
      <c r="Y320" s="341"/>
      <c r="Z320" s="341"/>
      <c r="AA320" s="341"/>
      <c r="AB320" s="341"/>
      <c r="AC320" s="341"/>
      <c r="AD320" s="341"/>
      <c r="AE320" s="341"/>
      <c r="AF320" s="341"/>
      <c r="AG320" s="341"/>
      <c r="AH320" s="341"/>
    </row>
    <row r="321" spans="1:14" s="341" customFormat="1" ht="13.5" hidden="1" outlineLevel="1" x14ac:dyDescent="0.25">
      <c r="A321" s="724">
        <f t="shared" si="35"/>
        <v>299</v>
      </c>
      <c r="B321" s="604" t="s">
        <v>27</v>
      </c>
      <c r="C321" s="119" t="s">
        <v>710</v>
      </c>
      <c r="D321" s="119"/>
      <c r="E321" s="121" t="str">
        <f>E324</f>
        <v>м3</v>
      </c>
      <c r="F321" s="394">
        <f>F324</f>
        <v>770.5</v>
      </c>
      <c r="G321" s="591"/>
      <c r="H321" s="591"/>
      <c r="I321" s="591">
        <f>SUM(I322:I324)</f>
        <v>13614685.300000001</v>
      </c>
      <c r="J321" s="591">
        <f>SUMIF(G330:G345,G330,J330:J345)+SUMIF(G358:G372,G358,J358:J372)+SUMIF(G388:G405,G388,J388:J405)</f>
        <v>8254006</v>
      </c>
      <c r="K321" s="591">
        <f t="shared" si="41"/>
        <v>21868691.300000001</v>
      </c>
      <c r="L321" s="393"/>
      <c r="M321" s="342"/>
    </row>
    <row r="322" spans="1:14" s="341" customFormat="1" ht="13.5" hidden="1" outlineLevel="1" x14ac:dyDescent="0.25">
      <c r="A322" s="724">
        <f t="shared" si="35"/>
        <v>300</v>
      </c>
      <c r="B322" s="605"/>
      <c r="C322" s="742" t="s">
        <v>707</v>
      </c>
      <c r="D322" s="746"/>
      <c r="E322" s="643" t="s">
        <v>33</v>
      </c>
      <c r="F322" s="743">
        <f>F338+F367+F398</f>
        <v>0.92</v>
      </c>
      <c r="G322" s="646"/>
      <c r="H322" s="646"/>
      <c r="I322" s="646">
        <f>SUMIF(C330:C345,C338,I330:I345)+SUMIF(C358:C372,C367,I358:I372)+SUMIF(C388:C405,C398,I388:I405)</f>
        <v>53810.8</v>
      </c>
      <c r="J322" s="646">
        <v>0</v>
      </c>
      <c r="K322" s="646">
        <f t="shared" si="41"/>
        <v>53810.8</v>
      </c>
      <c r="L322" s="657"/>
      <c r="M322" s="342"/>
    </row>
    <row r="323" spans="1:14" s="341" customFormat="1" ht="13.5" hidden="1" outlineLevel="1" x14ac:dyDescent="0.25">
      <c r="A323" s="724">
        <f t="shared" si="35"/>
        <v>301</v>
      </c>
      <c r="B323" s="605"/>
      <c r="C323" s="742" t="s">
        <v>708</v>
      </c>
      <c r="D323" s="746"/>
      <c r="E323" s="643" t="s">
        <v>33</v>
      </c>
      <c r="F323" s="656">
        <f>F330+F337+F358+F366+F388+F397-F322</f>
        <v>138.53</v>
      </c>
      <c r="G323" s="646"/>
      <c r="H323" s="646"/>
      <c r="I323" s="646">
        <f>SUMIF(C330:C345,C331,I330:I345)+SUMIF(C330:C345,C332,I330:I345)+SUMIF(C330:C345,C340,I330:I345)+SUMIF(C330:C345,C341,I330:I345)+SUMIF(C330:C345,C342,I330:I345)+SUMIF(C330:C345,C343,I330:I345)+SUMIF(C330:C345,C333,I330:I345)+SUMIF(C330:C345,C334,I330:I345)+SUMIF(C358:C372,C368,I358:I372)+SUMIF(C358:C372,C369,I358:I372)+SUMIF(C358:C372,C370,I358:I372)+SUMIF(C358:C372,C361,I358:I372)+SUMIF(C358:C372,C362,I358:I372)+SUMIF(C358:C372,C363,I358:I372)+SUMIF(C358:C372,C359,I358:I372)+SUMIF(C388:C405,C389,I388:I405)+SUMIF(C388:C405,C390,I388:I405)+SUMIF(C388:C405,C399,I388:I405)+SUMIF(C388:C405,C400,I388:I405)+SUMIF(C388:C405,C401,I388:I405)+SUMIF(C388:C405,C402,I388:I405)+SUMIF(C388:C405,C391,I388:I405)+SUMIF(C388:C405,C392,I388:I405)+SUMIF(C388:C405,C393,I388:I405)+SUMIF(C388:C405,C394,I388:I405)</f>
        <v>7801387</v>
      </c>
      <c r="J323" s="744">
        <v>0</v>
      </c>
      <c r="K323" s="646">
        <f t="shared" si="41"/>
        <v>7801387</v>
      </c>
      <c r="L323" s="657"/>
      <c r="M323" s="342"/>
    </row>
    <row r="324" spans="1:14" s="341" customFormat="1" ht="13.5" hidden="1" outlineLevel="1" x14ac:dyDescent="0.2">
      <c r="A324" s="724">
        <f t="shared" si="35"/>
        <v>302</v>
      </c>
      <c r="B324" s="606"/>
      <c r="C324" s="742" t="s">
        <v>414</v>
      </c>
      <c r="D324" s="746"/>
      <c r="E324" s="643" t="s">
        <v>0</v>
      </c>
      <c r="F324" s="656">
        <f>F336+F345+F365+F372+F396+F405</f>
        <v>770.5</v>
      </c>
      <c r="G324" s="745"/>
      <c r="H324" s="646"/>
      <c r="I324" s="646">
        <f>SUMIF(C330:C345,C345,I330:I345)+SUMIF(C358:C372,C372,I358:I372)+SUMIF(C388:C405,C405,I388:I405)</f>
        <v>5759487.5</v>
      </c>
      <c r="J324" s="646">
        <v>0</v>
      </c>
      <c r="K324" s="646">
        <f t="shared" ref="K324" si="44">SUM(I324:J324)</f>
        <v>5759487.5</v>
      </c>
      <c r="L324" s="657"/>
      <c r="M324" s="342"/>
    </row>
    <row r="325" spans="1:14" s="341" customFormat="1" ht="13.5" hidden="1" outlineLevel="1" x14ac:dyDescent="0.25">
      <c r="A325" s="724">
        <f t="shared" si="35"/>
        <v>303</v>
      </c>
      <c r="B325" s="604" t="s">
        <v>28</v>
      </c>
      <c r="C325" s="119" t="s">
        <v>709</v>
      </c>
      <c r="D325" s="119"/>
      <c r="E325" s="121" t="str">
        <f>E328</f>
        <v>м3</v>
      </c>
      <c r="F325" s="394">
        <f>F328</f>
        <v>1829.5</v>
      </c>
      <c r="G325" s="591"/>
      <c r="H325" s="591"/>
      <c r="I325" s="591">
        <f>SUM(I326:I328)</f>
        <v>36113284.799999997</v>
      </c>
      <c r="J325" s="591">
        <f>SUMIF(G346:G356,G346,J346:J356)+SUMIF(G373:G386,G373,J373:J386)+SUMIF(G408:G466,G408,J408:J466)</f>
        <v>21850260.5</v>
      </c>
      <c r="K325" s="591">
        <f>SUM(I325:J325)</f>
        <v>57963545.299999997</v>
      </c>
      <c r="L325" s="393"/>
      <c r="M325" s="342"/>
    </row>
    <row r="326" spans="1:14" s="341" customFormat="1" ht="13.5" hidden="1" outlineLevel="1" x14ac:dyDescent="0.25">
      <c r="A326" s="724">
        <f t="shared" si="35"/>
        <v>304</v>
      </c>
      <c r="B326" s="605"/>
      <c r="C326" s="335" t="s">
        <v>707</v>
      </c>
      <c r="D326" s="741"/>
      <c r="E326" s="336" t="s">
        <v>33</v>
      </c>
      <c r="F326" s="405">
        <f>F347+F348+F374+F375+F416+F417+F432+F433+F454+F455</f>
        <v>8.5399999999999991</v>
      </c>
      <c r="G326" s="584"/>
      <c r="H326" s="584"/>
      <c r="I326" s="584">
        <f>SUMIF(C346:C356,C347,I346:I356)+SUMIF(C346:C356,C348,I346:I356)+SUMIF(C373:C386,C374,I373:I386)+SUMIF(C373:C386,C375,I373:I386)+SUMIF(C408:C444,C432,I408:I444)+SUMIF(C408:C444,C433,I408:I444)+SUMIF(C408:C444,C417,I408:I444)+SUMIF(C446:C466,C454,I446:I466)+SUMIF(C446:C466,C455,I446:I466)</f>
        <v>507203.8</v>
      </c>
      <c r="J326" s="623">
        <v>0</v>
      </c>
      <c r="K326" s="526">
        <f>SUM(I326:J326)</f>
        <v>507203.8</v>
      </c>
      <c r="L326" s="349"/>
      <c r="M326" s="342"/>
      <c r="N326" s="679"/>
    </row>
    <row r="327" spans="1:14" s="341" customFormat="1" ht="13.5" hidden="1" outlineLevel="1" x14ac:dyDescent="0.25">
      <c r="A327" s="724">
        <f t="shared" si="35"/>
        <v>305</v>
      </c>
      <c r="B327" s="605"/>
      <c r="C327" s="335" t="s">
        <v>708</v>
      </c>
      <c r="D327" s="741"/>
      <c r="E327" s="336" t="s">
        <v>33</v>
      </c>
      <c r="F327" s="405">
        <f>F346+F373+F415+F431+F453-F326</f>
        <v>394.93</v>
      </c>
      <c r="G327" s="584"/>
      <c r="H327" s="584"/>
      <c r="I327" s="584">
        <f>SUMIF(C346:C356,C349,I346:I356)+SUMIF(C346:C356,C350,I346:I356)+SUMIF(C346:C356,C351,I346:I356)+SUMIF(C346:C356,C352,I346:I356)+SUMIF(C346:C356,C353,I346:I356)+SUMIF(C346:C356,C354,I346:I356)+SUMIF(C373:C386,C376,I373:I386)+SUMIF(C373:C386,C377,I373:I386)+SUMIF(C373:C386,C378,I373:I386)+SUMIF(C373:C386,C379,I373:I386)+SUMIF(C373:C386,C380,I373:I386)+SUMIF(C373:C386,C381,I373:I386)+SUMIF(C373:C386,C382,I373:I386)+SUMIF(C408:C466,C434,I408:I466)+SUMIF(C408:C466,C435,I408:I466)+SUMIF(C408:C466,C436,I408:I466)+SUMIF(C408:C466,C437,I408:I466)+SUMIF(C408:C466,C438,I408:I466)+SUMIF(C408:C466,C439,I408:I466)+SUMIF(C408:C466,C440,I408:I466)+SUMIF(C408:C466,C441,I408:I466)+SUMIF(C408:C466,C442,I408:I466)</f>
        <v>21959593.5</v>
      </c>
      <c r="J327" s="623">
        <v>0</v>
      </c>
      <c r="K327" s="526">
        <f t="shared" ref="K327:K328" si="45">SUM(I327:J327)</f>
        <v>21959593.5</v>
      </c>
      <c r="L327" s="349"/>
      <c r="M327" s="342"/>
    </row>
    <row r="328" spans="1:14" s="341" customFormat="1" ht="13.5" hidden="1" outlineLevel="1" collapsed="1" x14ac:dyDescent="0.2">
      <c r="A328" s="724">
        <f t="shared" si="35"/>
        <v>306</v>
      </c>
      <c r="B328" s="606"/>
      <c r="C328" s="335" t="s">
        <v>414</v>
      </c>
      <c r="D328" s="741"/>
      <c r="E328" s="336" t="s">
        <v>0</v>
      </c>
      <c r="F328" s="405">
        <f>F356+F384+F385+F386+F422+F444+F466</f>
        <v>1829.5</v>
      </c>
      <c r="G328" s="594"/>
      <c r="H328" s="584"/>
      <c r="I328" s="584">
        <f>SUMIF(C346:C356,C356,I346:I356)+SUMIF(C373:C386,C384,I373:I386)+SUMIF(C408:C444,C422,I408:I444)+SUMIF(C446:C466,C466,I446:I466)</f>
        <v>13646487.5</v>
      </c>
      <c r="J328" s="623">
        <v>0</v>
      </c>
      <c r="K328" s="526">
        <f t="shared" si="45"/>
        <v>13646487.5</v>
      </c>
      <c r="L328" s="349"/>
      <c r="M328" s="342"/>
    </row>
    <row r="329" spans="1:14" s="341" customFormat="1" ht="13.5" hidden="1" outlineLevel="1" x14ac:dyDescent="0.25">
      <c r="A329" s="724">
        <f t="shared" si="35"/>
        <v>307</v>
      </c>
      <c r="B329" s="604" t="s">
        <v>711</v>
      </c>
      <c r="C329" s="119" t="s">
        <v>705</v>
      </c>
      <c r="D329" s="119"/>
      <c r="E329" s="121"/>
      <c r="F329" s="590"/>
      <c r="G329" s="591"/>
      <c r="H329" s="591"/>
      <c r="I329" s="588">
        <f>SUMIF(G330:G356,G330,I330:I356)</f>
        <v>10515834.1</v>
      </c>
      <c r="J329" s="588">
        <f>SUMIF(G330:G356,G330,J330:J356)</f>
        <v>6282802</v>
      </c>
      <c r="K329" s="588">
        <f>SUMIF(G330:G356,G330,K330:K356)</f>
        <v>16798636.100000001</v>
      </c>
      <c r="L329" s="393"/>
      <c r="M329" s="342"/>
    </row>
    <row r="330" spans="1:14" s="338" customFormat="1" ht="13.5" hidden="1" outlineLevel="1" x14ac:dyDescent="0.25">
      <c r="A330" s="724">
        <f t="shared" si="35"/>
        <v>308</v>
      </c>
      <c r="B330" s="614"/>
      <c r="C330" s="642" t="s">
        <v>449</v>
      </c>
      <c r="D330" s="642"/>
      <c r="E330" s="643" t="s">
        <v>33</v>
      </c>
      <c r="F330" s="644">
        <f>SUM(F331:F334)</f>
        <v>20.81</v>
      </c>
      <c r="G330" s="645">
        <v>0</v>
      </c>
      <c r="H330" s="646">
        <v>26900</v>
      </c>
      <c r="I330" s="646">
        <f>SUM(I331:I334)</f>
        <v>1166481.5</v>
      </c>
      <c r="J330" s="646">
        <f t="shared" ref="J330" si="46">H330*F330</f>
        <v>559789</v>
      </c>
      <c r="K330" s="646">
        <f>SUM(I330:J330)</f>
        <v>1726270.5</v>
      </c>
      <c r="L330" s="647"/>
      <c r="M330" s="337"/>
    </row>
    <row r="331" spans="1:14" s="180" customFormat="1" hidden="1" outlineLevel="2" x14ac:dyDescent="0.2">
      <c r="A331" s="724">
        <f t="shared" si="35"/>
        <v>309</v>
      </c>
      <c r="B331" s="185"/>
      <c r="C331" s="648" t="s">
        <v>450</v>
      </c>
      <c r="D331" s="648"/>
      <c r="E331" s="649" t="s">
        <v>33</v>
      </c>
      <c r="F331" s="650">
        <f>462/1000</f>
        <v>0.46</v>
      </c>
      <c r="G331" s="651">
        <v>58950</v>
      </c>
      <c r="H331" s="652">
        <v>0</v>
      </c>
      <c r="I331" s="652">
        <f t="shared" ref="I331:I356" si="47">G331*F331</f>
        <v>27117</v>
      </c>
      <c r="J331" s="652">
        <v>0</v>
      </c>
      <c r="K331" s="652" t="s">
        <v>1316</v>
      </c>
      <c r="L331" s="653"/>
      <c r="M331" s="179"/>
    </row>
    <row r="332" spans="1:14" s="180" customFormat="1" hidden="1" outlineLevel="2" x14ac:dyDescent="0.25">
      <c r="A332" s="724">
        <f t="shared" si="35"/>
        <v>310</v>
      </c>
      <c r="B332" s="185"/>
      <c r="C332" s="648" t="s">
        <v>401</v>
      </c>
      <c r="D332" s="648"/>
      <c r="E332" s="649" t="s">
        <v>33</v>
      </c>
      <c r="F332" s="650">
        <f>4639.84/1000</f>
        <v>4.6399999999999997</v>
      </c>
      <c r="G332" s="652">
        <v>58150</v>
      </c>
      <c r="H332" s="652">
        <v>0</v>
      </c>
      <c r="I332" s="652">
        <f t="shared" si="47"/>
        <v>269816</v>
      </c>
      <c r="J332" s="652">
        <v>0</v>
      </c>
      <c r="K332" s="652">
        <f t="shared" ref="K332:K334" si="48">SUM(I332:J332)</f>
        <v>269816</v>
      </c>
      <c r="L332" s="653"/>
      <c r="M332" s="179"/>
    </row>
    <row r="333" spans="1:14" s="180" customFormat="1" hidden="1" outlineLevel="2" x14ac:dyDescent="0.25">
      <c r="A333" s="724">
        <f t="shared" si="35"/>
        <v>311</v>
      </c>
      <c r="B333" s="185"/>
      <c r="C333" s="648" t="s">
        <v>429</v>
      </c>
      <c r="D333" s="648"/>
      <c r="E333" s="649" t="s">
        <v>33</v>
      </c>
      <c r="F333" s="650">
        <f>1267.58/1000</f>
        <v>1.27</v>
      </c>
      <c r="G333" s="652">
        <v>55350</v>
      </c>
      <c r="H333" s="652">
        <v>0</v>
      </c>
      <c r="I333" s="652">
        <f t="shared" si="47"/>
        <v>70294.5</v>
      </c>
      <c r="J333" s="652">
        <v>0</v>
      </c>
      <c r="K333" s="652">
        <f t="shared" si="48"/>
        <v>70294.5</v>
      </c>
      <c r="L333" s="653"/>
      <c r="M333" s="179"/>
    </row>
    <row r="334" spans="1:14" s="180" customFormat="1" hidden="1" outlineLevel="2" x14ac:dyDescent="0.25">
      <c r="A334" s="724">
        <f t="shared" si="35"/>
        <v>312</v>
      </c>
      <c r="B334" s="185"/>
      <c r="C334" s="654" t="s">
        <v>430</v>
      </c>
      <c r="D334" s="654"/>
      <c r="E334" s="649" t="s">
        <v>33</v>
      </c>
      <c r="F334" s="650">
        <f>14437.84/1000</f>
        <v>14.44</v>
      </c>
      <c r="G334" s="652">
        <v>55350</v>
      </c>
      <c r="H334" s="652">
        <v>0</v>
      </c>
      <c r="I334" s="652">
        <f t="shared" si="47"/>
        <v>799254</v>
      </c>
      <c r="J334" s="652">
        <v>0</v>
      </c>
      <c r="K334" s="652">
        <f t="shared" si="48"/>
        <v>799254</v>
      </c>
      <c r="L334" s="653"/>
      <c r="M334" s="179"/>
    </row>
    <row r="335" spans="1:14" s="338" customFormat="1" ht="13.5" hidden="1" outlineLevel="1" x14ac:dyDescent="0.25">
      <c r="A335" s="724">
        <f t="shared" si="35"/>
        <v>313</v>
      </c>
      <c r="B335" s="608"/>
      <c r="C335" s="655" t="s">
        <v>692</v>
      </c>
      <c r="D335" s="655"/>
      <c r="E335" s="643" t="s">
        <v>0</v>
      </c>
      <c r="F335" s="656">
        <f>F336</f>
        <v>98.28</v>
      </c>
      <c r="G335" s="646">
        <v>0</v>
      </c>
      <c r="H335" s="646">
        <v>5600</v>
      </c>
      <c r="I335" s="646">
        <f>I336</f>
        <v>734643</v>
      </c>
      <c r="J335" s="646">
        <f>H335*F335</f>
        <v>550368</v>
      </c>
      <c r="K335" s="646">
        <f>SUM(I335:J335)</f>
        <v>1285011</v>
      </c>
      <c r="L335" s="657"/>
      <c r="M335" s="337"/>
    </row>
    <row r="336" spans="1:14" s="180" customFormat="1" hidden="1" outlineLevel="2" x14ac:dyDescent="0.25">
      <c r="A336" s="724">
        <f t="shared" si="35"/>
        <v>314</v>
      </c>
      <c r="B336" s="609"/>
      <c r="C336" s="658" t="s">
        <v>414</v>
      </c>
      <c r="D336" s="658"/>
      <c r="E336" s="649" t="s">
        <v>0</v>
      </c>
      <c r="F336" s="659">
        <f>2.5*4+2.5*2+2.5*2+2.5*6+2.5*1+2.5*5+2.5*5+1.5*1+3.5*2+1.04*2+1.7*1+1.7*1+1.4*2+2.3*3+2.3*5+0.6*1</f>
        <v>98.28</v>
      </c>
      <c r="G336" s="652">
        <v>7475</v>
      </c>
      <c r="H336" s="652">
        <v>0</v>
      </c>
      <c r="I336" s="652">
        <f t="shared" si="47"/>
        <v>734643</v>
      </c>
      <c r="J336" s="652">
        <v>0</v>
      </c>
      <c r="K336" s="652">
        <f>SUM(I336:J336)</f>
        <v>734643</v>
      </c>
      <c r="L336" s="653"/>
      <c r="M336" s="179"/>
    </row>
    <row r="337" spans="1:13" s="338" customFormat="1" ht="13.5" hidden="1" outlineLevel="1" x14ac:dyDescent="0.25">
      <c r="A337" s="724">
        <f t="shared" si="35"/>
        <v>315</v>
      </c>
      <c r="B337" s="608"/>
      <c r="C337" s="642" t="s">
        <v>701</v>
      </c>
      <c r="D337" s="642"/>
      <c r="E337" s="643" t="s">
        <v>33</v>
      </c>
      <c r="F337" s="644">
        <f>SUM(F338:F343)</f>
        <v>28.52</v>
      </c>
      <c r="G337" s="646">
        <v>0</v>
      </c>
      <c r="H337" s="646">
        <v>26900</v>
      </c>
      <c r="I337" s="646">
        <f>SUM(I338:I343)</f>
        <v>1608292.9</v>
      </c>
      <c r="J337" s="646">
        <f>H337*F337</f>
        <v>767188</v>
      </c>
      <c r="K337" s="646">
        <f>SUM(I337:J337)</f>
        <v>2375480.9</v>
      </c>
      <c r="L337" s="660"/>
      <c r="M337" s="337"/>
    </row>
    <row r="338" spans="1:13" s="180" customFormat="1" hidden="1" outlineLevel="2" x14ac:dyDescent="0.25">
      <c r="A338" s="724">
        <f t="shared" si="35"/>
        <v>316</v>
      </c>
      <c r="B338" s="185"/>
      <c r="C338" s="648" t="s">
        <v>399</v>
      </c>
      <c r="D338" s="648"/>
      <c r="E338" s="649" t="s">
        <v>33</v>
      </c>
      <c r="F338" s="661">
        <f>411.62/1000</f>
        <v>0.41</v>
      </c>
      <c r="G338" s="652">
        <v>58490</v>
      </c>
      <c r="H338" s="652">
        <v>0</v>
      </c>
      <c r="I338" s="652">
        <f t="shared" si="47"/>
        <v>23980.9</v>
      </c>
      <c r="J338" s="652">
        <v>0</v>
      </c>
      <c r="K338" s="652">
        <f>SUM(I338:J338)</f>
        <v>23980.9</v>
      </c>
      <c r="L338" s="653"/>
      <c r="M338" s="179"/>
    </row>
    <row r="339" spans="1:13" s="180" customFormat="1" hidden="1" outlineLevel="2" x14ac:dyDescent="0.25">
      <c r="A339" s="724">
        <f t="shared" si="35"/>
        <v>317</v>
      </c>
      <c r="B339" s="185"/>
      <c r="C339" s="648" t="s">
        <v>401</v>
      </c>
      <c r="D339" s="648"/>
      <c r="E339" s="649" t="s">
        <v>33</v>
      </c>
      <c r="F339" s="661">
        <f>302.7/1000</f>
        <v>0.3</v>
      </c>
      <c r="G339" s="652">
        <v>58150</v>
      </c>
      <c r="H339" s="652">
        <v>0</v>
      </c>
      <c r="I339" s="652">
        <f t="shared" si="47"/>
        <v>17445</v>
      </c>
      <c r="J339" s="652">
        <v>0</v>
      </c>
      <c r="K339" s="652">
        <f t="shared" ref="K339:K343" si="49">SUM(I339:J339)</f>
        <v>17445</v>
      </c>
      <c r="L339" s="653"/>
      <c r="M339" s="179"/>
    </row>
    <row r="340" spans="1:13" s="180" customFormat="1" hidden="1" outlineLevel="2" x14ac:dyDescent="0.25">
      <c r="A340" s="724">
        <f t="shared" si="35"/>
        <v>318</v>
      </c>
      <c r="B340" s="185"/>
      <c r="C340" s="648" t="s">
        <v>426</v>
      </c>
      <c r="D340" s="648"/>
      <c r="E340" s="649" t="s">
        <v>33</v>
      </c>
      <c r="F340" s="661">
        <f>7771.32/1000</f>
        <v>7.77</v>
      </c>
      <c r="G340" s="652">
        <v>58900</v>
      </c>
      <c r="H340" s="652">
        <v>0</v>
      </c>
      <c r="I340" s="652">
        <f t="shared" si="47"/>
        <v>457653</v>
      </c>
      <c r="J340" s="652">
        <v>0</v>
      </c>
      <c r="K340" s="652">
        <f t="shared" si="49"/>
        <v>457653</v>
      </c>
      <c r="L340" s="653"/>
      <c r="M340" s="179"/>
    </row>
    <row r="341" spans="1:13" s="180" customFormat="1" hidden="1" outlineLevel="2" x14ac:dyDescent="0.25">
      <c r="A341" s="724">
        <f t="shared" si="35"/>
        <v>319</v>
      </c>
      <c r="B341" s="185"/>
      <c r="C341" s="648" t="s">
        <v>427</v>
      </c>
      <c r="D341" s="648"/>
      <c r="E341" s="649" t="s">
        <v>33</v>
      </c>
      <c r="F341" s="661">
        <f>10831.6/1000</f>
        <v>10.83</v>
      </c>
      <c r="G341" s="652">
        <v>55350</v>
      </c>
      <c r="H341" s="652">
        <v>0</v>
      </c>
      <c r="I341" s="652">
        <f t="shared" si="47"/>
        <v>599440.5</v>
      </c>
      <c r="J341" s="652">
        <v>0</v>
      </c>
      <c r="K341" s="652">
        <f t="shared" si="49"/>
        <v>599440.5</v>
      </c>
      <c r="L341" s="653"/>
      <c r="M341" s="179"/>
    </row>
    <row r="342" spans="1:13" s="180" customFormat="1" hidden="1" outlineLevel="2" x14ac:dyDescent="0.25">
      <c r="A342" s="724">
        <f t="shared" si="35"/>
        <v>320</v>
      </c>
      <c r="B342" s="185"/>
      <c r="C342" s="662" t="s">
        <v>440</v>
      </c>
      <c r="D342" s="662"/>
      <c r="E342" s="649" t="s">
        <v>33</v>
      </c>
      <c r="F342" s="661">
        <f>3064.79/1000</f>
        <v>3.06</v>
      </c>
      <c r="G342" s="652">
        <v>55350</v>
      </c>
      <c r="H342" s="652">
        <v>0</v>
      </c>
      <c r="I342" s="652">
        <f t="shared" si="47"/>
        <v>169371</v>
      </c>
      <c r="J342" s="652">
        <v>0</v>
      </c>
      <c r="K342" s="652">
        <f t="shared" si="49"/>
        <v>169371</v>
      </c>
      <c r="L342" s="653"/>
      <c r="M342" s="179"/>
    </row>
    <row r="343" spans="1:13" s="180" customFormat="1" hidden="1" outlineLevel="2" x14ac:dyDescent="0.25">
      <c r="A343" s="724">
        <f t="shared" si="35"/>
        <v>321</v>
      </c>
      <c r="B343" s="185"/>
      <c r="C343" s="648" t="s">
        <v>428</v>
      </c>
      <c r="D343" s="648"/>
      <c r="E343" s="649" t="s">
        <v>33</v>
      </c>
      <c r="F343" s="661">
        <f>6153.4/1000</f>
        <v>6.15</v>
      </c>
      <c r="G343" s="652">
        <v>55350</v>
      </c>
      <c r="H343" s="652">
        <v>0</v>
      </c>
      <c r="I343" s="652">
        <f t="shared" si="47"/>
        <v>340402.5</v>
      </c>
      <c r="J343" s="652">
        <v>0</v>
      </c>
      <c r="K343" s="652">
        <f t="shared" si="49"/>
        <v>340402.5</v>
      </c>
      <c r="L343" s="653"/>
      <c r="M343" s="179"/>
    </row>
    <row r="344" spans="1:13" s="338" customFormat="1" ht="13.5" hidden="1" outlineLevel="1" x14ac:dyDescent="0.25">
      <c r="A344" s="724">
        <f t="shared" si="35"/>
        <v>322</v>
      </c>
      <c r="B344" s="608"/>
      <c r="C344" s="655" t="s">
        <v>456</v>
      </c>
      <c r="D344" s="655"/>
      <c r="E344" s="643" t="s">
        <v>0</v>
      </c>
      <c r="F344" s="644">
        <f>F345</f>
        <v>172.8</v>
      </c>
      <c r="G344" s="646">
        <v>0</v>
      </c>
      <c r="H344" s="646">
        <v>5600</v>
      </c>
      <c r="I344" s="646">
        <f>I345</f>
        <v>1291680</v>
      </c>
      <c r="J344" s="646">
        <f>H344*F344</f>
        <v>967680</v>
      </c>
      <c r="K344" s="646">
        <f>SUM(I344:J344)</f>
        <v>2259360</v>
      </c>
      <c r="L344" s="660"/>
      <c r="M344" s="337"/>
    </row>
    <row r="345" spans="1:13" s="180" customFormat="1" hidden="1" outlineLevel="2" x14ac:dyDescent="0.25">
      <c r="A345" s="724">
        <f t="shared" ref="A345:A408" si="50">A344+1</f>
        <v>323</v>
      </c>
      <c r="B345" s="615"/>
      <c r="C345" s="658" t="s">
        <v>414</v>
      </c>
      <c r="D345" s="658"/>
      <c r="E345" s="649" t="s">
        <v>0</v>
      </c>
      <c r="F345" s="661">
        <v>172.8</v>
      </c>
      <c r="G345" s="652">
        <v>7475</v>
      </c>
      <c r="H345" s="652">
        <v>0</v>
      </c>
      <c r="I345" s="652">
        <f t="shared" si="47"/>
        <v>1291680</v>
      </c>
      <c r="J345" s="652">
        <v>0</v>
      </c>
      <c r="K345" s="652">
        <f>SUM(I345:J345)</f>
        <v>1291680</v>
      </c>
      <c r="L345" s="653"/>
      <c r="M345" s="179"/>
    </row>
    <row r="346" spans="1:13" s="338" customFormat="1" ht="13.5" hidden="1" outlineLevel="1" x14ac:dyDescent="0.25">
      <c r="A346" s="724">
        <f t="shared" si="50"/>
        <v>324</v>
      </c>
      <c r="B346" s="667"/>
      <c r="C346" s="529" t="s">
        <v>683</v>
      </c>
      <c r="D346" s="529"/>
      <c r="E346" s="336" t="s">
        <v>33</v>
      </c>
      <c r="F346" s="306">
        <f>SUM(F347:F354)</f>
        <v>57.33</v>
      </c>
      <c r="G346" s="488">
        <v>0</v>
      </c>
      <c r="H346" s="584">
        <v>26900</v>
      </c>
      <c r="I346" s="584">
        <f>SUM(I347:I354)</f>
        <v>3184449.2</v>
      </c>
      <c r="J346" s="584">
        <f>H346*F346</f>
        <v>1542177</v>
      </c>
      <c r="K346" s="584">
        <f>SUM(I346:J346)</f>
        <v>4726626.2</v>
      </c>
      <c r="L346" s="585"/>
      <c r="M346" s="747" t="s">
        <v>627</v>
      </c>
    </row>
    <row r="347" spans="1:13" s="180" customFormat="1" hidden="1" outlineLevel="2" x14ac:dyDescent="0.25">
      <c r="A347" s="724">
        <f t="shared" si="50"/>
        <v>325</v>
      </c>
      <c r="B347" s="668"/>
      <c r="C347" s="176" t="s">
        <v>399</v>
      </c>
      <c r="D347" s="176"/>
      <c r="E347" s="2" t="s">
        <v>33</v>
      </c>
      <c r="F347" s="570">
        <f>182.88/1000</f>
        <v>0.18</v>
      </c>
      <c r="G347" s="464">
        <v>58490</v>
      </c>
      <c r="H347" s="464">
        <v>0</v>
      </c>
      <c r="I347" s="464">
        <f t="shared" si="47"/>
        <v>10528.2</v>
      </c>
      <c r="J347" s="464">
        <v>0</v>
      </c>
      <c r="K347" s="464">
        <f>SUM(I347:J347)</f>
        <v>10528.2</v>
      </c>
      <c r="L347" s="299"/>
      <c r="M347" s="748"/>
    </row>
    <row r="348" spans="1:13" s="180" customFormat="1" hidden="1" outlineLevel="2" x14ac:dyDescent="0.2">
      <c r="A348" s="724">
        <f t="shared" si="50"/>
        <v>326</v>
      </c>
      <c r="B348" s="668"/>
      <c r="C348" s="176" t="s">
        <v>459</v>
      </c>
      <c r="D348" s="176"/>
      <c r="E348" s="2" t="s">
        <v>33</v>
      </c>
      <c r="F348" s="570">
        <f>1206.54/1000</f>
        <v>1.21</v>
      </c>
      <c r="G348" s="595">
        <v>59450</v>
      </c>
      <c r="H348" s="464">
        <v>0</v>
      </c>
      <c r="I348" s="464">
        <f t="shared" si="47"/>
        <v>71934.5</v>
      </c>
      <c r="J348" s="464">
        <v>0</v>
      </c>
      <c r="K348" s="464">
        <f t="shared" ref="K348:K354" si="51">SUM(I348:J348)</f>
        <v>71934.5</v>
      </c>
      <c r="L348" s="299"/>
      <c r="M348" s="748"/>
    </row>
    <row r="349" spans="1:13" s="180" customFormat="1" hidden="1" outlineLevel="2" x14ac:dyDescent="0.25">
      <c r="A349" s="724">
        <f t="shared" si="50"/>
        <v>327</v>
      </c>
      <c r="B349" s="668"/>
      <c r="C349" s="176" t="s">
        <v>450</v>
      </c>
      <c r="D349" s="176"/>
      <c r="E349" s="2" t="s">
        <v>33</v>
      </c>
      <c r="F349" s="570">
        <f>551.02/1000</f>
        <v>0.55000000000000004</v>
      </c>
      <c r="G349" s="464">
        <v>58950</v>
      </c>
      <c r="H349" s="464">
        <v>0</v>
      </c>
      <c r="I349" s="464">
        <f t="shared" si="47"/>
        <v>32422.5</v>
      </c>
      <c r="J349" s="464">
        <v>0</v>
      </c>
      <c r="K349" s="464">
        <f t="shared" si="51"/>
        <v>32422.5</v>
      </c>
      <c r="L349" s="299"/>
      <c r="M349" s="748"/>
    </row>
    <row r="350" spans="1:13" s="180" customFormat="1" hidden="1" outlineLevel="2" x14ac:dyDescent="0.25">
      <c r="A350" s="724">
        <f t="shared" si="50"/>
        <v>328</v>
      </c>
      <c r="B350" s="668"/>
      <c r="C350" s="533" t="s">
        <v>426</v>
      </c>
      <c r="D350" s="176"/>
      <c r="E350" s="2" t="s">
        <v>33</v>
      </c>
      <c r="F350" s="570">
        <f>1049.6/1000</f>
        <v>1.05</v>
      </c>
      <c r="G350" s="464">
        <v>58900</v>
      </c>
      <c r="H350" s="464">
        <v>0</v>
      </c>
      <c r="I350" s="464">
        <f t="shared" si="47"/>
        <v>61845</v>
      </c>
      <c r="J350" s="464">
        <v>0</v>
      </c>
      <c r="K350" s="464">
        <f t="shared" si="51"/>
        <v>61845</v>
      </c>
      <c r="L350" s="299"/>
      <c r="M350" s="748"/>
    </row>
    <row r="351" spans="1:13" s="180" customFormat="1" hidden="1" outlineLevel="2" x14ac:dyDescent="0.25">
      <c r="A351" s="724">
        <f t="shared" si="50"/>
        <v>329</v>
      </c>
      <c r="B351" s="668"/>
      <c r="C351" s="176" t="s">
        <v>427</v>
      </c>
      <c r="D351" s="176"/>
      <c r="E351" s="2" t="s">
        <v>33</v>
      </c>
      <c r="F351" s="570">
        <f>32675.67/1000</f>
        <v>32.68</v>
      </c>
      <c r="G351" s="464">
        <v>55350</v>
      </c>
      <c r="H351" s="464">
        <v>0</v>
      </c>
      <c r="I351" s="464">
        <f t="shared" si="47"/>
        <v>1808838</v>
      </c>
      <c r="J351" s="464">
        <v>0</v>
      </c>
      <c r="K351" s="464">
        <f t="shared" si="51"/>
        <v>1808838</v>
      </c>
      <c r="L351" s="299"/>
      <c r="M351" s="748"/>
    </row>
    <row r="352" spans="1:13" s="180" customFormat="1" hidden="1" outlineLevel="2" x14ac:dyDescent="0.25">
      <c r="A352" s="724">
        <f t="shared" si="50"/>
        <v>330</v>
      </c>
      <c r="B352" s="668"/>
      <c r="C352" s="533" t="s">
        <v>440</v>
      </c>
      <c r="D352" s="533"/>
      <c r="E352" s="2" t="s">
        <v>33</v>
      </c>
      <c r="F352" s="570">
        <f>13296.59/1000</f>
        <v>13.3</v>
      </c>
      <c r="G352" s="464">
        <v>55350</v>
      </c>
      <c r="H352" s="464">
        <v>0</v>
      </c>
      <c r="I352" s="464">
        <f t="shared" si="47"/>
        <v>736155</v>
      </c>
      <c r="J352" s="464">
        <v>0</v>
      </c>
      <c r="K352" s="464">
        <f t="shared" si="51"/>
        <v>736155</v>
      </c>
      <c r="L352" s="299"/>
      <c r="M352" s="748"/>
    </row>
    <row r="353" spans="1:14" s="180" customFormat="1" hidden="1" outlineLevel="2" x14ac:dyDescent="0.25">
      <c r="A353" s="724">
        <f t="shared" si="50"/>
        <v>331</v>
      </c>
      <c r="B353" s="668"/>
      <c r="C353" s="533" t="s">
        <v>428</v>
      </c>
      <c r="D353" s="176"/>
      <c r="E353" s="2" t="s">
        <v>33</v>
      </c>
      <c r="F353" s="570">
        <f>5302.05/1000</f>
        <v>5.3</v>
      </c>
      <c r="G353" s="464">
        <v>55350</v>
      </c>
      <c r="H353" s="464">
        <v>0</v>
      </c>
      <c r="I353" s="464">
        <f t="shared" si="47"/>
        <v>293355</v>
      </c>
      <c r="J353" s="464">
        <v>0</v>
      </c>
      <c r="K353" s="464">
        <f t="shared" si="51"/>
        <v>293355</v>
      </c>
      <c r="L353" s="299"/>
      <c r="M353" s="748"/>
    </row>
    <row r="354" spans="1:14" s="180" customFormat="1" hidden="1" outlineLevel="2" x14ac:dyDescent="0.25">
      <c r="A354" s="724">
        <f t="shared" si="50"/>
        <v>332</v>
      </c>
      <c r="B354" s="668"/>
      <c r="C354" s="533" t="s">
        <v>429</v>
      </c>
      <c r="D354" s="176"/>
      <c r="E354" s="2" t="s">
        <v>33</v>
      </c>
      <c r="F354" s="570">
        <f>3063.14/1000</f>
        <v>3.06</v>
      </c>
      <c r="G354" s="464">
        <v>55350</v>
      </c>
      <c r="H354" s="464">
        <v>0</v>
      </c>
      <c r="I354" s="464">
        <f t="shared" si="47"/>
        <v>169371</v>
      </c>
      <c r="J354" s="464">
        <v>0</v>
      </c>
      <c r="K354" s="464">
        <f t="shared" si="51"/>
        <v>169371</v>
      </c>
      <c r="L354" s="299"/>
      <c r="M354" s="748"/>
    </row>
    <row r="355" spans="1:14" s="338" customFormat="1" ht="13.5" hidden="1" outlineLevel="1" x14ac:dyDescent="0.25">
      <c r="A355" s="724">
        <f t="shared" si="50"/>
        <v>333</v>
      </c>
      <c r="B355" s="614"/>
      <c r="C355" s="337" t="s">
        <v>461</v>
      </c>
      <c r="D355" s="337"/>
      <c r="E355" s="336" t="s">
        <v>0</v>
      </c>
      <c r="F355" s="306">
        <f>F356</f>
        <v>338.5</v>
      </c>
      <c r="G355" s="584">
        <v>0</v>
      </c>
      <c r="H355" s="584">
        <v>5600</v>
      </c>
      <c r="I355" s="584">
        <f>SUM(I356)</f>
        <v>2530287.5</v>
      </c>
      <c r="J355" s="584">
        <f>H355*F355</f>
        <v>1895600</v>
      </c>
      <c r="K355" s="584">
        <f>SUM(I355:J355)</f>
        <v>4425887.5</v>
      </c>
      <c r="L355" s="585"/>
      <c r="M355" s="748"/>
    </row>
    <row r="356" spans="1:14" s="180" customFormat="1" hidden="1" outlineLevel="2" x14ac:dyDescent="0.25">
      <c r="A356" s="724">
        <f t="shared" si="50"/>
        <v>334</v>
      </c>
      <c r="B356" s="185"/>
      <c r="C356" s="193" t="s">
        <v>414</v>
      </c>
      <c r="D356" s="193"/>
      <c r="E356" s="177" t="s">
        <v>0</v>
      </c>
      <c r="F356" s="181">
        <v>338.5</v>
      </c>
      <c r="G356" s="464">
        <v>7475</v>
      </c>
      <c r="H356" s="464">
        <v>0</v>
      </c>
      <c r="I356" s="464">
        <f t="shared" si="47"/>
        <v>2530287.5</v>
      </c>
      <c r="J356" s="464">
        <v>0</v>
      </c>
      <c r="K356" s="464">
        <f>SUM(I356:J356)</f>
        <v>2530287.5</v>
      </c>
      <c r="L356" s="299"/>
      <c r="M356" s="749"/>
      <c r="N356" s="353"/>
    </row>
    <row r="357" spans="1:14" s="341" customFormat="1" ht="13.5" hidden="1" outlineLevel="1" collapsed="1" x14ac:dyDescent="0.25">
      <c r="A357" s="724">
        <f t="shared" si="50"/>
        <v>335</v>
      </c>
      <c r="B357" s="604" t="s">
        <v>712</v>
      </c>
      <c r="C357" s="119" t="s">
        <v>706</v>
      </c>
      <c r="D357" s="119"/>
      <c r="E357" s="121"/>
      <c r="F357" s="590"/>
      <c r="G357" s="591"/>
      <c r="H357" s="591"/>
      <c r="I357" s="588">
        <f>SUMIF(G358:G386,G358,I358:I386)</f>
        <v>6200928.4000000004</v>
      </c>
      <c r="J357" s="588">
        <f>SUMIF(G358:G386,G358,J358:J386)</f>
        <v>3688389</v>
      </c>
      <c r="K357" s="588">
        <f>SUMIF(G358:G386,G358,K358:K386)</f>
        <v>9889317.4000000004</v>
      </c>
      <c r="L357" s="393"/>
      <c r="M357" s="342"/>
      <c r="N357" s="679"/>
    </row>
    <row r="358" spans="1:14" s="338" customFormat="1" ht="13.5" hidden="1" outlineLevel="1" x14ac:dyDescent="0.25">
      <c r="A358" s="724">
        <f t="shared" si="50"/>
        <v>336</v>
      </c>
      <c r="B358" s="608"/>
      <c r="C358" s="642" t="s">
        <v>463</v>
      </c>
      <c r="D358" s="642"/>
      <c r="E358" s="643" t="s">
        <v>33</v>
      </c>
      <c r="F358" s="644">
        <f>SUM(F359:F363)</f>
        <v>19.89</v>
      </c>
      <c r="G358" s="645">
        <v>0</v>
      </c>
      <c r="H358" s="646">
        <v>26900</v>
      </c>
      <c r="I358" s="646">
        <f>SUM(I359:I363)</f>
        <v>1113071</v>
      </c>
      <c r="J358" s="646">
        <f>H358*F358</f>
        <v>535041</v>
      </c>
      <c r="K358" s="646">
        <f>SUM(I358:J358)</f>
        <v>1648112</v>
      </c>
      <c r="L358" s="647"/>
      <c r="M358" s="747" t="s">
        <v>626</v>
      </c>
    </row>
    <row r="359" spans="1:14" s="180" customFormat="1" hidden="1" outlineLevel="2" x14ac:dyDescent="0.25">
      <c r="A359" s="724">
        <f t="shared" si="50"/>
        <v>337</v>
      </c>
      <c r="B359" s="185"/>
      <c r="C359" s="663" t="s">
        <v>450</v>
      </c>
      <c r="D359" s="663"/>
      <c r="E359" s="649" t="s">
        <v>33</v>
      </c>
      <c r="F359" s="664">
        <f>219.08/1000</f>
        <v>0.22</v>
      </c>
      <c r="G359" s="652">
        <v>58950</v>
      </c>
      <c r="H359" s="652">
        <v>0</v>
      </c>
      <c r="I359" s="652">
        <f t="shared" ref="I359:I386" si="52">G359*F359</f>
        <v>12969</v>
      </c>
      <c r="J359" s="652">
        <v>0</v>
      </c>
      <c r="K359" s="652">
        <f t="shared" ref="K359:K386" si="53">SUM(I359:J359)</f>
        <v>12969</v>
      </c>
      <c r="L359" s="653"/>
      <c r="M359" s="748"/>
    </row>
    <row r="360" spans="1:14" s="180" customFormat="1" hidden="1" outlineLevel="2" x14ac:dyDescent="0.25">
      <c r="A360" s="724">
        <f t="shared" si="50"/>
        <v>338</v>
      </c>
      <c r="B360" s="185"/>
      <c r="C360" s="663" t="s">
        <v>401</v>
      </c>
      <c r="D360" s="663"/>
      <c r="E360" s="649" t="s">
        <v>33</v>
      </c>
      <c r="F360" s="664">
        <f>3724.7/1000</f>
        <v>3.72</v>
      </c>
      <c r="G360" s="652">
        <v>58150</v>
      </c>
      <c r="H360" s="652">
        <v>0</v>
      </c>
      <c r="I360" s="652">
        <f t="shared" si="52"/>
        <v>216318</v>
      </c>
      <c r="J360" s="652">
        <v>0</v>
      </c>
      <c r="K360" s="652">
        <f t="shared" si="53"/>
        <v>216318</v>
      </c>
      <c r="L360" s="653"/>
      <c r="M360" s="748"/>
    </row>
    <row r="361" spans="1:14" s="180" customFormat="1" hidden="1" outlineLevel="2" x14ac:dyDescent="0.25">
      <c r="A361" s="724">
        <f t="shared" si="50"/>
        <v>339</v>
      </c>
      <c r="B361" s="185"/>
      <c r="C361" s="663" t="s">
        <v>429</v>
      </c>
      <c r="D361" s="663"/>
      <c r="E361" s="649" t="s">
        <v>33</v>
      </c>
      <c r="F361" s="664">
        <f>8246.78/1000</f>
        <v>8.25</v>
      </c>
      <c r="G361" s="652">
        <v>55350</v>
      </c>
      <c r="H361" s="652">
        <v>0</v>
      </c>
      <c r="I361" s="652">
        <f t="shared" si="52"/>
        <v>456637.5</v>
      </c>
      <c r="J361" s="652">
        <v>0</v>
      </c>
      <c r="K361" s="652">
        <f t="shared" si="53"/>
        <v>456637.5</v>
      </c>
      <c r="L361" s="653"/>
      <c r="M361" s="748"/>
    </row>
    <row r="362" spans="1:14" s="180" customFormat="1" hidden="1" outlineLevel="2" x14ac:dyDescent="0.25">
      <c r="A362" s="724">
        <f t="shared" si="50"/>
        <v>340</v>
      </c>
      <c r="B362" s="185"/>
      <c r="C362" s="665" t="s">
        <v>430</v>
      </c>
      <c r="D362" s="665"/>
      <c r="E362" s="649" t="s">
        <v>33</v>
      </c>
      <c r="F362" s="664">
        <f>5966.52/1000</f>
        <v>5.97</v>
      </c>
      <c r="G362" s="652">
        <v>55350</v>
      </c>
      <c r="H362" s="652">
        <v>0</v>
      </c>
      <c r="I362" s="652">
        <f t="shared" si="52"/>
        <v>330439.5</v>
      </c>
      <c r="J362" s="652">
        <v>0</v>
      </c>
      <c r="K362" s="652">
        <f t="shared" si="53"/>
        <v>330439.5</v>
      </c>
      <c r="L362" s="653"/>
      <c r="M362" s="748"/>
    </row>
    <row r="363" spans="1:14" s="180" customFormat="1" hidden="1" outlineLevel="2" x14ac:dyDescent="0.25">
      <c r="A363" s="724">
        <f t="shared" si="50"/>
        <v>341</v>
      </c>
      <c r="B363" s="185"/>
      <c r="C363" s="665" t="s">
        <v>431</v>
      </c>
      <c r="D363" s="665"/>
      <c r="E363" s="649" t="s">
        <v>33</v>
      </c>
      <c r="F363" s="664">
        <f>1732.85/1000</f>
        <v>1.73</v>
      </c>
      <c r="G363" s="652">
        <v>55900</v>
      </c>
      <c r="H363" s="652">
        <v>0</v>
      </c>
      <c r="I363" s="652">
        <f t="shared" si="52"/>
        <v>96707</v>
      </c>
      <c r="J363" s="652">
        <v>0</v>
      </c>
      <c r="K363" s="652">
        <f t="shared" si="53"/>
        <v>96707</v>
      </c>
      <c r="L363" s="653"/>
      <c r="M363" s="748"/>
    </row>
    <row r="364" spans="1:14" s="338" customFormat="1" ht="13.5" hidden="1" outlineLevel="1" x14ac:dyDescent="0.25">
      <c r="A364" s="724">
        <f t="shared" si="50"/>
        <v>342</v>
      </c>
      <c r="B364" s="608"/>
      <c r="C364" s="655" t="s">
        <v>693</v>
      </c>
      <c r="D364" s="655"/>
      <c r="E364" s="643" t="s">
        <v>0</v>
      </c>
      <c r="F364" s="644">
        <f>F365</f>
        <v>66.8</v>
      </c>
      <c r="G364" s="646">
        <v>0</v>
      </c>
      <c r="H364" s="646">
        <v>5600</v>
      </c>
      <c r="I364" s="646">
        <f>SUM(I365)</f>
        <v>499330</v>
      </c>
      <c r="J364" s="646">
        <f>H364*F364</f>
        <v>374080</v>
      </c>
      <c r="K364" s="646">
        <f t="shared" si="53"/>
        <v>873410</v>
      </c>
      <c r="L364" s="660"/>
      <c r="M364" s="748"/>
    </row>
    <row r="365" spans="1:14" s="180" customFormat="1" hidden="1" outlineLevel="2" x14ac:dyDescent="0.25">
      <c r="A365" s="724">
        <f t="shared" si="50"/>
        <v>343</v>
      </c>
      <c r="B365" s="185"/>
      <c r="C365" s="658" t="s">
        <v>414</v>
      </c>
      <c r="D365" s="658"/>
      <c r="E365" s="649" t="s">
        <v>0</v>
      </c>
      <c r="F365" s="661">
        <f>0.8*1+1.2*1+2.3*6+2.3*4+2.3*3+2.3*3+2.3*1+2.3*3+2.3*1+3.6*1+3.3*1+1.4*1+0.9*2+1.6*2+3.2*1</f>
        <v>66.8</v>
      </c>
      <c r="G365" s="652">
        <v>7475</v>
      </c>
      <c r="H365" s="652">
        <v>0</v>
      </c>
      <c r="I365" s="652">
        <f t="shared" si="52"/>
        <v>499330</v>
      </c>
      <c r="J365" s="652">
        <f>H365*F365</f>
        <v>0</v>
      </c>
      <c r="K365" s="652">
        <f t="shared" si="53"/>
        <v>499330</v>
      </c>
      <c r="L365" s="653"/>
      <c r="M365" s="748"/>
    </row>
    <row r="366" spans="1:14" s="338" customFormat="1" ht="13.5" hidden="1" outlineLevel="1" x14ac:dyDescent="0.25">
      <c r="A366" s="724">
        <f t="shared" si="50"/>
        <v>344</v>
      </c>
      <c r="B366" s="608"/>
      <c r="C366" s="642" t="s">
        <v>465</v>
      </c>
      <c r="D366" s="642"/>
      <c r="E366" s="643" t="s">
        <v>33</v>
      </c>
      <c r="F366" s="644">
        <f>SUM(F367:F370)</f>
        <v>6.99</v>
      </c>
      <c r="G366" s="645">
        <v>0</v>
      </c>
      <c r="H366" s="646">
        <v>26900</v>
      </c>
      <c r="I366" s="646">
        <f>SUM(I367:I370)</f>
        <v>402191.7</v>
      </c>
      <c r="J366" s="646">
        <f>H366*F366</f>
        <v>188031</v>
      </c>
      <c r="K366" s="646">
        <f t="shared" si="53"/>
        <v>590222.69999999995</v>
      </c>
      <c r="L366" s="660"/>
      <c r="M366" s="749"/>
    </row>
    <row r="367" spans="1:14" s="180" customFormat="1" hidden="1" outlineLevel="2" x14ac:dyDescent="0.25">
      <c r="A367" s="724">
        <f t="shared" si="50"/>
        <v>345</v>
      </c>
      <c r="B367" s="185"/>
      <c r="C367" s="663" t="s">
        <v>399</v>
      </c>
      <c r="D367" s="663"/>
      <c r="E367" s="649" t="s">
        <v>33</v>
      </c>
      <c r="F367" s="661">
        <f>78.09/1000</f>
        <v>0.08</v>
      </c>
      <c r="G367" s="652">
        <v>58490</v>
      </c>
      <c r="H367" s="652">
        <v>0</v>
      </c>
      <c r="I367" s="652">
        <f t="shared" si="52"/>
        <v>4679.2</v>
      </c>
      <c r="J367" s="652">
        <v>0</v>
      </c>
      <c r="K367" s="652">
        <f t="shared" si="53"/>
        <v>4679.2</v>
      </c>
      <c r="L367" s="653"/>
      <c r="M367" s="179"/>
    </row>
    <row r="368" spans="1:14" s="180" customFormat="1" hidden="1" outlineLevel="2" x14ac:dyDescent="0.25">
      <c r="A368" s="724">
        <f t="shared" si="50"/>
        <v>346</v>
      </c>
      <c r="B368" s="185"/>
      <c r="C368" s="663" t="s">
        <v>401</v>
      </c>
      <c r="D368" s="663"/>
      <c r="E368" s="649" t="s">
        <v>33</v>
      </c>
      <c r="F368" s="661">
        <f>1620.6/1000</f>
        <v>1.62</v>
      </c>
      <c r="G368" s="652">
        <v>58150</v>
      </c>
      <c r="H368" s="652">
        <v>0</v>
      </c>
      <c r="I368" s="652">
        <f t="shared" si="52"/>
        <v>94203</v>
      </c>
      <c r="J368" s="652">
        <v>0</v>
      </c>
      <c r="K368" s="652">
        <f t="shared" si="53"/>
        <v>94203</v>
      </c>
      <c r="L368" s="653"/>
      <c r="M368" s="179"/>
    </row>
    <row r="369" spans="1:13" s="180" customFormat="1" hidden="1" outlineLevel="2" x14ac:dyDescent="0.25">
      <c r="A369" s="724">
        <f t="shared" si="50"/>
        <v>347</v>
      </c>
      <c r="B369" s="185"/>
      <c r="C369" s="663" t="s">
        <v>426</v>
      </c>
      <c r="D369" s="663"/>
      <c r="E369" s="649" t="s">
        <v>33</v>
      </c>
      <c r="F369" s="661">
        <f>2962.05/1000</f>
        <v>2.96</v>
      </c>
      <c r="G369" s="652">
        <v>58900</v>
      </c>
      <c r="H369" s="652">
        <v>0</v>
      </c>
      <c r="I369" s="652">
        <f t="shared" si="52"/>
        <v>174344</v>
      </c>
      <c r="J369" s="652">
        <v>0</v>
      </c>
      <c r="K369" s="652">
        <f t="shared" si="53"/>
        <v>174344</v>
      </c>
      <c r="L369" s="653"/>
      <c r="M369" s="179"/>
    </row>
    <row r="370" spans="1:13" s="180" customFormat="1" hidden="1" outlineLevel="2" x14ac:dyDescent="0.25">
      <c r="A370" s="724">
        <f t="shared" si="50"/>
        <v>348</v>
      </c>
      <c r="B370" s="185"/>
      <c r="C370" s="662" t="s">
        <v>440</v>
      </c>
      <c r="D370" s="662"/>
      <c r="E370" s="649" t="s">
        <v>33</v>
      </c>
      <c r="F370" s="661">
        <f>2325/1000</f>
        <v>2.33</v>
      </c>
      <c r="G370" s="652">
        <v>55350</v>
      </c>
      <c r="H370" s="652">
        <v>0</v>
      </c>
      <c r="I370" s="652">
        <f t="shared" si="52"/>
        <v>128965.5</v>
      </c>
      <c r="J370" s="652">
        <v>0</v>
      </c>
      <c r="K370" s="652">
        <f t="shared" si="53"/>
        <v>128965.5</v>
      </c>
      <c r="L370" s="653"/>
      <c r="M370" s="179"/>
    </row>
    <row r="371" spans="1:13" s="338" customFormat="1" ht="13.5" hidden="1" outlineLevel="1" x14ac:dyDescent="0.25">
      <c r="A371" s="724">
        <f t="shared" si="50"/>
        <v>349</v>
      </c>
      <c r="B371" s="608"/>
      <c r="C371" s="666" t="s">
        <v>466</v>
      </c>
      <c r="D371" s="666"/>
      <c r="E371" s="643" t="s">
        <v>0</v>
      </c>
      <c r="F371" s="644">
        <f>F372</f>
        <v>63.6</v>
      </c>
      <c r="G371" s="646">
        <v>0</v>
      </c>
      <c r="H371" s="646">
        <v>5600</v>
      </c>
      <c r="I371" s="646">
        <f>SUM(I372)</f>
        <v>475410</v>
      </c>
      <c r="J371" s="646">
        <f>H371*F371</f>
        <v>356160</v>
      </c>
      <c r="K371" s="646">
        <f t="shared" si="53"/>
        <v>831570</v>
      </c>
      <c r="L371" s="660"/>
      <c r="M371" s="337"/>
    </row>
    <row r="372" spans="1:13" s="180" customFormat="1" hidden="1" outlineLevel="2" x14ac:dyDescent="0.25">
      <c r="A372" s="724">
        <f t="shared" si="50"/>
        <v>350</v>
      </c>
      <c r="B372" s="185"/>
      <c r="C372" s="658" t="s">
        <v>414</v>
      </c>
      <c r="D372" s="658"/>
      <c r="E372" s="649" t="s">
        <v>0</v>
      </c>
      <c r="F372" s="661">
        <v>63.6</v>
      </c>
      <c r="G372" s="652">
        <v>7475</v>
      </c>
      <c r="H372" s="652">
        <v>0</v>
      </c>
      <c r="I372" s="652">
        <f t="shared" si="52"/>
        <v>475410</v>
      </c>
      <c r="J372" s="652">
        <v>0</v>
      </c>
      <c r="K372" s="652">
        <f t="shared" si="53"/>
        <v>475410</v>
      </c>
      <c r="L372" s="653"/>
      <c r="M372" s="179"/>
    </row>
    <row r="373" spans="1:13" s="338" customFormat="1" ht="13.5" hidden="1" outlineLevel="1" x14ac:dyDescent="0.25">
      <c r="A373" s="724">
        <f t="shared" si="50"/>
        <v>351</v>
      </c>
      <c r="B373" s="608"/>
      <c r="C373" s="529" t="s">
        <v>685</v>
      </c>
      <c r="D373" s="529"/>
      <c r="E373" s="336" t="s">
        <v>33</v>
      </c>
      <c r="F373" s="306">
        <f>SUM(F374:F382)</f>
        <v>38.33</v>
      </c>
      <c r="G373" s="488">
        <v>0</v>
      </c>
      <c r="H373" s="584">
        <v>26900</v>
      </c>
      <c r="I373" s="584">
        <f>SUM(I374:I382)</f>
        <v>2132825.7000000002</v>
      </c>
      <c r="J373" s="584">
        <f>H373*F373</f>
        <v>1031077</v>
      </c>
      <c r="K373" s="584">
        <f t="shared" si="53"/>
        <v>3163902.7</v>
      </c>
      <c r="L373" s="585"/>
      <c r="M373" s="337"/>
    </row>
    <row r="374" spans="1:13" s="180" customFormat="1" hidden="1" outlineLevel="2" x14ac:dyDescent="0.25">
      <c r="A374" s="724">
        <f t="shared" si="50"/>
        <v>352</v>
      </c>
      <c r="B374" s="185"/>
      <c r="C374" s="176" t="s">
        <v>399</v>
      </c>
      <c r="D374" s="176"/>
      <c r="E374" s="177" t="s">
        <v>33</v>
      </c>
      <c r="F374" s="178">
        <f>80/1000</f>
        <v>0.08</v>
      </c>
      <c r="G374" s="464">
        <v>58490</v>
      </c>
      <c r="H374" s="464">
        <v>0</v>
      </c>
      <c r="I374" s="464">
        <f t="shared" si="52"/>
        <v>4679.2</v>
      </c>
      <c r="J374" s="464">
        <v>0</v>
      </c>
      <c r="K374" s="464">
        <f t="shared" si="53"/>
        <v>4679.2</v>
      </c>
      <c r="L374" s="299"/>
      <c r="M374" s="179"/>
    </row>
    <row r="375" spans="1:13" s="180" customFormat="1" hidden="1" outlineLevel="2" x14ac:dyDescent="0.25">
      <c r="A375" s="724">
        <f t="shared" si="50"/>
        <v>353</v>
      </c>
      <c r="B375" s="185"/>
      <c r="C375" s="176" t="s">
        <v>459</v>
      </c>
      <c r="D375" s="176"/>
      <c r="E375" s="177" t="s">
        <v>33</v>
      </c>
      <c r="F375" s="178">
        <f>950/1000</f>
        <v>0.95</v>
      </c>
      <c r="G375" s="464">
        <v>59450</v>
      </c>
      <c r="H375" s="464">
        <v>0</v>
      </c>
      <c r="I375" s="464">
        <f t="shared" si="52"/>
        <v>56477.5</v>
      </c>
      <c r="J375" s="464">
        <v>0</v>
      </c>
      <c r="K375" s="464">
        <f t="shared" si="53"/>
        <v>56477.5</v>
      </c>
      <c r="L375" s="299"/>
      <c r="M375" s="179"/>
    </row>
    <row r="376" spans="1:13" s="180" customFormat="1" hidden="1" outlineLevel="2" x14ac:dyDescent="0.25">
      <c r="A376" s="724">
        <f t="shared" si="50"/>
        <v>354</v>
      </c>
      <c r="B376" s="185"/>
      <c r="C376" s="176" t="s">
        <v>450</v>
      </c>
      <c r="D376" s="176"/>
      <c r="E376" s="177" t="s">
        <v>33</v>
      </c>
      <c r="F376" s="178">
        <f>594.66/1000</f>
        <v>0.59</v>
      </c>
      <c r="G376" s="464">
        <v>58950</v>
      </c>
      <c r="H376" s="464">
        <v>0</v>
      </c>
      <c r="I376" s="464">
        <f t="shared" si="52"/>
        <v>34780.5</v>
      </c>
      <c r="J376" s="464">
        <v>0</v>
      </c>
      <c r="K376" s="464">
        <f t="shared" si="53"/>
        <v>34780.5</v>
      </c>
      <c r="L376" s="299"/>
      <c r="M376" s="179"/>
    </row>
    <row r="377" spans="1:13" s="180" customFormat="1" hidden="1" outlineLevel="2" x14ac:dyDescent="0.25">
      <c r="A377" s="724">
        <f t="shared" si="50"/>
        <v>355</v>
      </c>
      <c r="B377" s="185"/>
      <c r="C377" s="176" t="s">
        <v>401</v>
      </c>
      <c r="D377" s="176"/>
      <c r="E377" s="177" t="s">
        <v>33</v>
      </c>
      <c r="F377" s="178">
        <f>924.54/1000</f>
        <v>0.92</v>
      </c>
      <c r="G377" s="464">
        <v>58150</v>
      </c>
      <c r="H377" s="464">
        <v>0</v>
      </c>
      <c r="I377" s="464">
        <f t="shared" si="52"/>
        <v>53498</v>
      </c>
      <c r="J377" s="464">
        <v>0</v>
      </c>
      <c r="K377" s="464">
        <f t="shared" si="53"/>
        <v>53498</v>
      </c>
      <c r="L377" s="299"/>
      <c r="M377" s="179"/>
    </row>
    <row r="378" spans="1:13" s="180" customFormat="1" hidden="1" outlineLevel="2" x14ac:dyDescent="0.25">
      <c r="A378" s="724">
        <f t="shared" si="50"/>
        <v>356</v>
      </c>
      <c r="B378" s="185"/>
      <c r="C378" s="533" t="s">
        <v>426</v>
      </c>
      <c r="D378" s="176"/>
      <c r="E378" s="177" t="s">
        <v>33</v>
      </c>
      <c r="F378" s="178">
        <f>681.72/1000</f>
        <v>0.68</v>
      </c>
      <c r="G378" s="464">
        <v>58900</v>
      </c>
      <c r="H378" s="464">
        <v>0</v>
      </c>
      <c r="I378" s="464">
        <f t="shared" si="52"/>
        <v>40052</v>
      </c>
      <c r="J378" s="464">
        <v>0</v>
      </c>
      <c r="K378" s="464">
        <f t="shared" si="53"/>
        <v>40052</v>
      </c>
      <c r="L378" s="299"/>
      <c r="M378" s="179"/>
    </row>
    <row r="379" spans="1:13" s="180" customFormat="1" hidden="1" outlineLevel="2" x14ac:dyDescent="0.25">
      <c r="A379" s="724">
        <f t="shared" si="50"/>
        <v>357</v>
      </c>
      <c r="B379" s="185"/>
      <c r="C379" s="176" t="s">
        <v>427</v>
      </c>
      <c r="D379" s="176"/>
      <c r="E379" s="177" t="s">
        <v>33</v>
      </c>
      <c r="F379" s="178">
        <f>20537.28/1000</f>
        <v>20.54</v>
      </c>
      <c r="G379" s="464">
        <v>55350</v>
      </c>
      <c r="H379" s="464">
        <v>0</v>
      </c>
      <c r="I379" s="464">
        <f t="shared" si="52"/>
        <v>1136889</v>
      </c>
      <c r="J379" s="464">
        <v>0</v>
      </c>
      <c r="K379" s="464">
        <f t="shared" si="53"/>
        <v>1136889</v>
      </c>
      <c r="L379" s="299"/>
      <c r="M379" s="179"/>
    </row>
    <row r="380" spans="1:13" s="180" customFormat="1" hidden="1" outlineLevel="2" x14ac:dyDescent="0.25">
      <c r="A380" s="724">
        <f t="shared" si="50"/>
        <v>358</v>
      </c>
      <c r="B380" s="185"/>
      <c r="C380" s="533" t="s">
        <v>440</v>
      </c>
      <c r="D380" s="533"/>
      <c r="E380" s="177" t="s">
        <v>33</v>
      </c>
      <c r="F380" s="178">
        <f>7852.11/1000</f>
        <v>7.85</v>
      </c>
      <c r="G380" s="464">
        <v>55350</v>
      </c>
      <c r="H380" s="464">
        <v>0</v>
      </c>
      <c r="I380" s="464">
        <f t="shared" si="52"/>
        <v>434497.5</v>
      </c>
      <c r="J380" s="464">
        <v>0</v>
      </c>
      <c r="K380" s="464">
        <f t="shared" si="53"/>
        <v>434497.5</v>
      </c>
      <c r="L380" s="299"/>
      <c r="M380" s="179"/>
    </row>
    <row r="381" spans="1:13" s="180" customFormat="1" hidden="1" outlineLevel="2" x14ac:dyDescent="0.25">
      <c r="A381" s="724">
        <f t="shared" si="50"/>
        <v>359</v>
      </c>
      <c r="B381" s="185"/>
      <c r="C381" s="533" t="s">
        <v>428</v>
      </c>
      <c r="D381" s="176"/>
      <c r="E381" s="177" t="s">
        <v>33</v>
      </c>
      <c r="F381" s="178">
        <f>4826.88/1000</f>
        <v>4.83</v>
      </c>
      <c r="G381" s="464">
        <v>55350</v>
      </c>
      <c r="H381" s="464">
        <v>0</v>
      </c>
      <c r="I381" s="464">
        <f t="shared" si="52"/>
        <v>267340.5</v>
      </c>
      <c r="J381" s="464">
        <v>0</v>
      </c>
      <c r="K381" s="464">
        <f t="shared" si="53"/>
        <v>267340.5</v>
      </c>
      <c r="L381" s="299"/>
      <c r="M381" s="179"/>
    </row>
    <row r="382" spans="1:13" s="180" customFormat="1" hidden="1" outlineLevel="2" x14ac:dyDescent="0.25">
      <c r="A382" s="724">
        <f t="shared" si="50"/>
        <v>360</v>
      </c>
      <c r="B382" s="185"/>
      <c r="C382" s="533" t="s">
        <v>429</v>
      </c>
      <c r="D382" s="176"/>
      <c r="E382" s="177" t="s">
        <v>33</v>
      </c>
      <c r="F382" s="178">
        <f>1892.34/1000</f>
        <v>1.89</v>
      </c>
      <c r="G382" s="464">
        <v>55350</v>
      </c>
      <c r="H382" s="464">
        <v>0</v>
      </c>
      <c r="I382" s="464">
        <f t="shared" si="52"/>
        <v>104611.5</v>
      </c>
      <c r="J382" s="464">
        <v>0</v>
      </c>
      <c r="K382" s="464">
        <f t="shared" si="53"/>
        <v>104611.5</v>
      </c>
      <c r="L382" s="299"/>
      <c r="M382" s="179"/>
    </row>
    <row r="383" spans="1:13" s="338" customFormat="1" ht="25.5" hidden="1" outlineLevel="1" x14ac:dyDescent="0.25">
      <c r="A383" s="724">
        <f t="shared" si="50"/>
        <v>361</v>
      </c>
      <c r="B383" s="608"/>
      <c r="C383" s="337" t="s">
        <v>694</v>
      </c>
      <c r="D383" s="337"/>
      <c r="E383" s="336" t="s">
        <v>0</v>
      </c>
      <c r="F383" s="306">
        <f>SUM(F384:F386)</f>
        <v>215</v>
      </c>
      <c r="G383" s="584">
        <v>0</v>
      </c>
      <c r="H383" s="584">
        <v>5600</v>
      </c>
      <c r="I383" s="584">
        <f>SUM(I384:I386)</f>
        <v>1578100</v>
      </c>
      <c r="J383" s="584">
        <f t="shared" ref="J383:J388" si="54">H383*F383</f>
        <v>1204000</v>
      </c>
      <c r="K383" s="584">
        <f t="shared" si="53"/>
        <v>2782100</v>
      </c>
      <c r="L383" s="585"/>
      <c r="M383" s="337"/>
    </row>
    <row r="384" spans="1:13" s="180" customFormat="1" hidden="1" outlineLevel="2" x14ac:dyDescent="0.25">
      <c r="A384" s="724">
        <f t="shared" si="50"/>
        <v>362</v>
      </c>
      <c r="B384" s="185"/>
      <c r="C384" s="193" t="s">
        <v>414</v>
      </c>
      <c r="D384" s="193"/>
      <c r="E384" s="177" t="s">
        <v>0</v>
      </c>
      <c r="F384" s="181">
        <v>194</v>
      </c>
      <c r="G384" s="464">
        <v>7340</v>
      </c>
      <c r="H384" s="464">
        <v>0</v>
      </c>
      <c r="I384" s="464">
        <f t="shared" si="52"/>
        <v>1423960</v>
      </c>
      <c r="J384" s="464">
        <f t="shared" si="54"/>
        <v>0</v>
      </c>
      <c r="K384" s="464">
        <f t="shared" si="53"/>
        <v>1423960</v>
      </c>
      <c r="L384" s="299" t="s">
        <v>1299</v>
      </c>
      <c r="M384" s="179"/>
    </row>
    <row r="385" spans="1:34" s="180" customFormat="1" hidden="1" outlineLevel="2" x14ac:dyDescent="0.25">
      <c r="A385" s="724">
        <f t="shared" si="50"/>
        <v>363</v>
      </c>
      <c r="B385" s="185"/>
      <c r="C385" s="193" t="s">
        <v>414</v>
      </c>
      <c r="D385" s="193"/>
      <c r="E385" s="177" t="s">
        <v>0</v>
      </c>
      <c r="F385" s="181">
        <v>1</v>
      </c>
      <c r="G385" s="464">
        <v>7340</v>
      </c>
      <c r="H385" s="464">
        <v>0</v>
      </c>
      <c r="I385" s="464">
        <f t="shared" si="52"/>
        <v>7340</v>
      </c>
      <c r="J385" s="464">
        <f t="shared" si="54"/>
        <v>0</v>
      </c>
      <c r="K385" s="464">
        <f t="shared" si="53"/>
        <v>7340</v>
      </c>
      <c r="L385" s="299" t="s">
        <v>1300</v>
      </c>
      <c r="M385" s="179"/>
    </row>
    <row r="386" spans="1:34" s="180" customFormat="1" hidden="1" outlineLevel="2" x14ac:dyDescent="0.25">
      <c r="A386" s="724">
        <f t="shared" si="50"/>
        <v>364</v>
      </c>
      <c r="B386" s="185"/>
      <c r="C386" s="193" t="s">
        <v>414</v>
      </c>
      <c r="D386" s="193"/>
      <c r="E386" s="177" t="s">
        <v>0</v>
      </c>
      <c r="F386" s="181">
        <v>20</v>
      </c>
      <c r="G386" s="464">
        <v>7340</v>
      </c>
      <c r="H386" s="464">
        <v>0</v>
      </c>
      <c r="I386" s="464">
        <f t="shared" si="52"/>
        <v>146800</v>
      </c>
      <c r="J386" s="464">
        <f t="shared" si="54"/>
        <v>0</v>
      </c>
      <c r="K386" s="464">
        <f t="shared" si="53"/>
        <v>146800</v>
      </c>
      <c r="L386" s="299" t="s">
        <v>1299</v>
      </c>
      <c r="M386" s="179"/>
    </row>
    <row r="387" spans="1:34" s="426" customFormat="1" ht="13.5" hidden="1" outlineLevel="1" collapsed="1" x14ac:dyDescent="0.25">
      <c r="A387" s="724">
        <f t="shared" si="50"/>
        <v>365</v>
      </c>
      <c r="B387" s="617" t="s">
        <v>713</v>
      </c>
      <c r="C387" s="372" t="s">
        <v>1298</v>
      </c>
      <c r="D387" s="372"/>
      <c r="E387" s="632"/>
      <c r="F387" s="372"/>
      <c r="G387" s="588"/>
      <c r="H387" s="588"/>
      <c r="I387" s="588">
        <f>SUMIF(G388:G405,G388,I388:I405)</f>
        <v>6323585.2000000002</v>
      </c>
      <c r="J387" s="588">
        <f>SUMIF(G388:G405,G388,J388:J405)</f>
        <v>3955669</v>
      </c>
      <c r="K387" s="588">
        <f>SUMIF(G388:G405,G388,K388:K405)</f>
        <v>10279254.199999999</v>
      </c>
      <c r="L387" s="407"/>
      <c r="M387" s="259"/>
      <c r="N387" s="425"/>
      <c r="O387" s="425"/>
      <c r="P387" s="425"/>
      <c r="Q387" s="425"/>
      <c r="R387" s="425"/>
      <c r="S387" s="425"/>
      <c r="T387" s="425"/>
      <c r="U387" s="425"/>
      <c r="V387" s="425"/>
      <c r="W387" s="425"/>
      <c r="X387" s="425"/>
      <c r="Y387" s="425"/>
      <c r="Z387" s="425"/>
      <c r="AA387" s="425"/>
      <c r="AB387" s="425"/>
      <c r="AC387" s="425"/>
      <c r="AD387" s="425"/>
      <c r="AE387" s="425"/>
      <c r="AF387" s="425"/>
      <c r="AG387" s="425"/>
      <c r="AH387" s="425"/>
    </row>
    <row r="388" spans="1:34" s="425" customFormat="1" ht="13.5" hidden="1" outlineLevel="1" x14ac:dyDescent="0.25">
      <c r="A388" s="724">
        <f t="shared" si="50"/>
        <v>366</v>
      </c>
      <c r="B388" s="608"/>
      <c r="C388" s="642" t="s">
        <v>473</v>
      </c>
      <c r="D388" s="642"/>
      <c r="E388" s="643" t="s">
        <v>33</v>
      </c>
      <c r="F388" s="644">
        <f>SUM(F389:F394)</f>
        <v>19.399999999999999</v>
      </c>
      <c r="G388" s="645">
        <v>0</v>
      </c>
      <c r="H388" s="646">
        <v>26900</v>
      </c>
      <c r="I388" s="646">
        <f>SUM(I389:I394)</f>
        <v>1083306.5</v>
      </c>
      <c r="J388" s="646">
        <f t="shared" si="54"/>
        <v>521860</v>
      </c>
      <c r="K388" s="646">
        <f>SUM(I388:J388)</f>
        <v>1605166.5</v>
      </c>
      <c r="L388" s="657"/>
      <c r="M388" s="543"/>
    </row>
    <row r="389" spans="1:34" s="257" customFormat="1" hidden="1" outlineLevel="2" x14ac:dyDescent="0.25">
      <c r="A389" s="724">
        <f t="shared" si="50"/>
        <v>367</v>
      </c>
      <c r="B389" s="363"/>
      <c r="C389" s="662" t="s">
        <v>450</v>
      </c>
      <c r="D389" s="662"/>
      <c r="E389" s="669" t="s">
        <v>33</v>
      </c>
      <c r="F389" s="670">
        <f>246.28/1000</f>
        <v>0.25</v>
      </c>
      <c r="G389" s="652">
        <v>58950</v>
      </c>
      <c r="H389" s="652">
        <v>0</v>
      </c>
      <c r="I389" s="652">
        <f t="shared" ref="I389:I405" si="55">G389*F389</f>
        <v>14737.5</v>
      </c>
      <c r="J389" s="652">
        <v>0</v>
      </c>
      <c r="K389" s="652">
        <f t="shared" ref="K389:K405" si="56">SUM(I389:J389)</f>
        <v>14737.5</v>
      </c>
      <c r="L389" s="653"/>
      <c r="M389" s="360"/>
    </row>
    <row r="390" spans="1:34" s="257" customFormat="1" hidden="1" outlineLevel="2" x14ac:dyDescent="0.25">
      <c r="A390" s="724">
        <f t="shared" si="50"/>
        <v>368</v>
      </c>
      <c r="B390" s="363"/>
      <c r="C390" s="662" t="s">
        <v>401</v>
      </c>
      <c r="D390" s="662"/>
      <c r="E390" s="669" t="s">
        <v>33</v>
      </c>
      <c r="F390" s="670">
        <f>2494.54/1000</f>
        <v>2.4900000000000002</v>
      </c>
      <c r="G390" s="652">
        <v>58150</v>
      </c>
      <c r="H390" s="652">
        <v>0</v>
      </c>
      <c r="I390" s="652">
        <f t="shared" si="55"/>
        <v>144793.5</v>
      </c>
      <c r="J390" s="652">
        <v>0</v>
      </c>
      <c r="K390" s="652">
        <f t="shared" si="56"/>
        <v>144793.5</v>
      </c>
      <c r="L390" s="653"/>
      <c r="M390" s="360"/>
    </row>
    <row r="391" spans="1:34" s="257" customFormat="1" hidden="1" outlineLevel="2" x14ac:dyDescent="0.25">
      <c r="A391" s="724">
        <f t="shared" si="50"/>
        <v>369</v>
      </c>
      <c r="B391" s="363"/>
      <c r="C391" s="662" t="s">
        <v>428</v>
      </c>
      <c r="D391" s="662"/>
      <c r="E391" s="669" t="s">
        <v>33</v>
      </c>
      <c r="F391" s="670">
        <f>276/1000</f>
        <v>0.28000000000000003</v>
      </c>
      <c r="G391" s="652">
        <v>55350</v>
      </c>
      <c r="H391" s="652">
        <v>0</v>
      </c>
      <c r="I391" s="652">
        <f t="shared" si="55"/>
        <v>15498</v>
      </c>
      <c r="J391" s="652">
        <v>0</v>
      </c>
      <c r="K391" s="652">
        <f t="shared" si="56"/>
        <v>15498</v>
      </c>
      <c r="L391" s="653"/>
      <c r="M391" s="360"/>
    </row>
    <row r="392" spans="1:34" s="257" customFormat="1" hidden="1" outlineLevel="2" x14ac:dyDescent="0.25">
      <c r="A392" s="724">
        <f t="shared" si="50"/>
        <v>370</v>
      </c>
      <c r="B392" s="363"/>
      <c r="C392" s="662" t="s">
        <v>429</v>
      </c>
      <c r="D392" s="662"/>
      <c r="E392" s="669" t="s">
        <v>33</v>
      </c>
      <c r="F392" s="670">
        <f>11767.72/1000</f>
        <v>11.77</v>
      </c>
      <c r="G392" s="652">
        <v>55350</v>
      </c>
      <c r="H392" s="652">
        <v>0</v>
      </c>
      <c r="I392" s="652">
        <f t="shared" si="55"/>
        <v>651469.5</v>
      </c>
      <c r="J392" s="652">
        <v>0</v>
      </c>
      <c r="K392" s="652">
        <f t="shared" si="56"/>
        <v>651469.5</v>
      </c>
      <c r="L392" s="653"/>
      <c r="M392" s="360"/>
    </row>
    <row r="393" spans="1:34" s="257" customFormat="1" hidden="1" outlineLevel="2" x14ac:dyDescent="0.25">
      <c r="A393" s="724">
        <f t="shared" si="50"/>
        <v>371</v>
      </c>
      <c r="B393" s="363"/>
      <c r="C393" s="665" t="s">
        <v>430</v>
      </c>
      <c r="D393" s="665"/>
      <c r="E393" s="669" t="s">
        <v>33</v>
      </c>
      <c r="F393" s="670">
        <f>1620.64/1000</f>
        <v>1.62</v>
      </c>
      <c r="G393" s="652">
        <v>55350</v>
      </c>
      <c r="H393" s="652">
        <v>0</v>
      </c>
      <c r="I393" s="652">
        <f t="shared" si="55"/>
        <v>89667</v>
      </c>
      <c r="J393" s="652">
        <v>0</v>
      </c>
      <c r="K393" s="652">
        <f t="shared" si="56"/>
        <v>89667</v>
      </c>
      <c r="L393" s="653"/>
      <c r="M393" s="360"/>
    </row>
    <row r="394" spans="1:34" s="257" customFormat="1" hidden="1" outlineLevel="2" x14ac:dyDescent="0.25">
      <c r="A394" s="724">
        <f t="shared" si="50"/>
        <v>372</v>
      </c>
      <c r="B394" s="363"/>
      <c r="C394" s="662" t="s">
        <v>431</v>
      </c>
      <c r="D394" s="662"/>
      <c r="E394" s="669" t="s">
        <v>33</v>
      </c>
      <c r="F394" s="670">
        <f>2992/1000</f>
        <v>2.99</v>
      </c>
      <c r="G394" s="652">
        <v>55900</v>
      </c>
      <c r="H394" s="652">
        <v>0</v>
      </c>
      <c r="I394" s="652">
        <f t="shared" si="55"/>
        <v>167141</v>
      </c>
      <c r="J394" s="652">
        <v>0</v>
      </c>
      <c r="K394" s="652">
        <f t="shared" si="56"/>
        <v>167141</v>
      </c>
      <c r="L394" s="653"/>
      <c r="M394" s="360"/>
    </row>
    <row r="395" spans="1:34" s="425" customFormat="1" ht="13.5" hidden="1" outlineLevel="1" x14ac:dyDescent="0.25">
      <c r="A395" s="724">
        <f t="shared" si="50"/>
        <v>373</v>
      </c>
      <c r="B395" s="608"/>
      <c r="C395" s="671" t="s">
        <v>696</v>
      </c>
      <c r="D395" s="671"/>
      <c r="E395" s="672" t="s">
        <v>0</v>
      </c>
      <c r="F395" s="673">
        <f>F396</f>
        <v>56.97</v>
      </c>
      <c r="G395" s="646">
        <v>0</v>
      </c>
      <c r="H395" s="646">
        <v>8900</v>
      </c>
      <c r="I395" s="646">
        <f>SUM(I396)</f>
        <v>425850.75</v>
      </c>
      <c r="J395" s="646">
        <f>H395*F395</f>
        <v>507033</v>
      </c>
      <c r="K395" s="646">
        <f t="shared" si="56"/>
        <v>932883.75</v>
      </c>
      <c r="L395" s="657"/>
      <c r="M395" s="543"/>
    </row>
    <row r="396" spans="1:34" s="257" customFormat="1" hidden="1" outlineLevel="2" x14ac:dyDescent="0.25">
      <c r="A396" s="724">
        <f t="shared" si="50"/>
        <v>374</v>
      </c>
      <c r="B396" s="363"/>
      <c r="C396" s="658" t="s">
        <v>414</v>
      </c>
      <c r="D396" s="658"/>
      <c r="E396" s="669" t="s">
        <v>0</v>
      </c>
      <c r="F396" s="674">
        <f>0.5*2+0.5*7+0.6*12+0.8*9+0.8*4+0.8*1+0.8*9+0.85*1+0.8*11+0.4*2+0.4*3+0.6*3+0.6*7+0.5*2+0.46*2+0.5*2+0.5*4+0.5*2+0.5*3+0.5*2+0.8*1</f>
        <v>56.97</v>
      </c>
      <c r="G396" s="652">
        <v>7475</v>
      </c>
      <c r="H396" s="652">
        <v>0</v>
      </c>
      <c r="I396" s="652">
        <f t="shared" si="55"/>
        <v>425850.75</v>
      </c>
      <c r="J396" s="652">
        <v>0</v>
      </c>
      <c r="K396" s="652">
        <f t="shared" si="56"/>
        <v>425850.75</v>
      </c>
      <c r="L396" s="653"/>
      <c r="M396" s="360"/>
    </row>
    <row r="397" spans="1:34" s="425" customFormat="1" ht="13.5" hidden="1" outlineLevel="1" x14ac:dyDescent="0.25">
      <c r="A397" s="724">
        <f t="shared" si="50"/>
        <v>375</v>
      </c>
      <c r="B397" s="608"/>
      <c r="C397" s="671" t="s">
        <v>475</v>
      </c>
      <c r="D397" s="671"/>
      <c r="E397" s="672" t="s">
        <v>33</v>
      </c>
      <c r="F397" s="675">
        <f>SUM(F398:F403)</f>
        <v>43.84</v>
      </c>
      <c r="G397" s="646">
        <v>0</v>
      </c>
      <c r="H397" s="646">
        <v>26900</v>
      </c>
      <c r="I397" s="646">
        <f>SUM(I398:I403)</f>
        <v>2481854.2000000002</v>
      </c>
      <c r="J397" s="646">
        <f>H397*F397</f>
        <v>1179296</v>
      </c>
      <c r="K397" s="646">
        <f>SUM(I397:J397)</f>
        <v>3661150.2</v>
      </c>
      <c r="L397" s="657"/>
      <c r="M397" s="543"/>
    </row>
    <row r="398" spans="1:34" s="257" customFormat="1" hidden="1" outlineLevel="2" x14ac:dyDescent="0.25">
      <c r="A398" s="724">
        <f t="shared" si="50"/>
        <v>376</v>
      </c>
      <c r="B398" s="363"/>
      <c r="C398" s="662" t="s">
        <v>399</v>
      </c>
      <c r="D398" s="662"/>
      <c r="E398" s="669" t="s">
        <v>33</v>
      </c>
      <c r="F398" s="676">
        <f>(131.8+236+31+33.8)/1000</f>
        <v>0.43</v>
      </c>
      <c r="G398" s="652">
        <v>58490</v>
      </c>
      <c r="H398" s="652">
        <v>0</v>
      </c>
      <c r="I398" s="652">
        <f t="shared" si="55"/>
        <v>25150.7</v>
      </c>
      <c r="J398" s="652">
        <v>0</v>
      </c>
      <c r="K398" s="652">
        <f t="shared" si="56"/>
        <v>25150.7</v>
      </c>
      <c r="L398" s="653"/>
      <c r="M398" s="360"/>
    </row>
    <row r="399" spans="1:34" s="257" customFormat="1" hidden="1" outlineLevel="2" x14ac:dyDescent="0.25">
      <c r="A399" s="724">
        <f t="shared" si="50"/>
        <v>377</v>
      </c>
      <c r="B399" s="363"/>
      <c r="C399" s="662" t="s">
        <v>426</v>
      </c>
      <c r="D399" s="662"/>
      <c r="E399" s="669" t="s">
        <v>33</v>
      </c>
      <c r="F399" s="676">
        <f>(3322.1+10007.7+1005+861.1)/1000</f>
        <v>15.2</v>
      </c>
      <c r="G399" s="652">
        <v>58900</v>
      </c>
      <c r="H399" s="652">
        <v>0</v>
      </c>
      <c r="I399" s="652">
        <f t="shared" si="55"/>
        <v>895280</v>
      </c>
      <c r="J399" s="652">
        <v>0</v>
      </c>
      <c r="K399" s="652">
        <f t="shared" si="56"/>
        <v>895280</v>
      </c>
      <c r="L399" s="653"/>
      <c r="M399" s="360"/>
    </row>
    <row r="400" spans="1:34" s="257" customFormat="1" hidden="1" outlineLevel="2" x14ac:dyDescent="0.25">
      <c r="A400" s="724">
        <f t="shared" si="50"/>
        <v>378</v>
      </c>
      <c r="B400" s="363"/>
      <c r="C400" s="662" t="s">
        <v>427</v>
      </c>
      <c r="D400" s="662"/>
      <c r="E400" s="669" t="s">
        <v>33</v>
      </c>
      <c r="F400" s="676">
        <f>562/1000</f>
        <v>0.56000000000000005</v>
      </c>
      <c r="G400" s="652">
        <v>55350</v>
      </c>
      <c r="H400" s="652">
        <v>0</v>
      </c>
      <c r="I400" s="652">
        <f t="shared" si="55"/>
        <v>30996</v>
      </c>
      <c r="J400" s="652">
        <v>0</v>
      </c>
      <c r="K400" s="652">
        <f t="shared" si="56"/>
        <v>30996</v>
      </c>
      <c r="L400" s="653"/>
      <c r="M400" s="360"/>
    </row>
    <row r="401" spans="1:34" s="257" customFormat="1" hidden="1" outlineLevel="2" x14ac:dyDescent="0.25">
      <c r="A401" s="724">
        <f t="shared" si="50"/>
        <v>379</v>
      </c>
      <c r="B401" s="363"/>
      <c r="C401" s="662" t="s">
        <v>440</v>
      </c>
      <c r="D401" s="662"/>
      <c r="E401" s="669" t="s">
        <v>33</v>
      </c>
      <c r="F401" s="676">
        <f>(7419.8+15165.6+2436+2390.9)/1000</f>
        <v>27.41</v>
      </c>
      <c r="G401" s="652">
        <v>55350</v>
      </c>
      <c r="H401" s="652">
        <v>0</v>
      </c>
      <c r="I401" s="652">
        <f t="shared" si="55"/>
        <v>1517143.5</v>
      </c>
      <c r="J401" s="652">
        <v>0</v>
      </c>
      <c r="K401" s="652">
        <f t="shared" si="56"/>
        <v>1517143.5</v>
      </c>
      <c r="L401" s="653"/>
      <c r="M401" s="360"/>
    </row>
    <row r="402" spans="1:34" s="257" customFormat="1" hidden="1" outlineLevel="2" x14ac:dyDescent="0.25">
      <c r="A402" s="724">
        <f t="shared" si="50"/>
        <v>380</v>
      </c>
      <c r="B402" s="363"/>
      <c r="C402" s="662" t="s">
        <v>405</v>
      </c>
      <c r="D402" s="662"/>
      <c r="E402" s="669" t="s">
        <v>33</v>
      </c>
      <c r="F402" s="676">
        <f>75/1000</f>
        <v>0.08</v>
      </c>
      <c r="G402" s="652">
        <v>55350</v>
      </c>
      <c r="H402" s="652">
        <v>0</v>
      </c>
      <c r="I402" s="652">
        <f t="shared" si="55"/>
        <v>4428</v>
      </c>
      <c r="J402" s="652">
        <v>0</v>
      </c>
      <c r="K402" s="652">
        <f t="shared" si="56"/>
        <v>4428</v>
      </c>
      <c r="L402" s="653"/>
      <c r="M402" s="360"/>
    </row>
    <row r="403" spans="1:34" s="257" customFormat="1" hidden="1" outlineLevel="2" x14ac:dyDescent="0.25">
      <c r="A403" s="724">
        <f t="shared" si="50"/>
        <v>381</v>
      </c>
      <c r="B403" s="363"/>
      <c r="C403" s="662" t="s">
        <v>429</v>
      </c>
      <c r="D403" s="663"/>
      <c r="E403" s="669" t="s">
        <v>33</v>
      </c>
      <c r="F403" s="676">
        <f>162.7/1000</f>
        <v>0.16</v>
      </c>
      <c r="G403" s="652">
        <v>55350</v>
      </c>
      <c r="H403" s="652">
        <v>0</v>
      </c>
      <c r="I403" s="652">
        <f t="shared" si="55"/>
        <v>8856</v>
      </c>
      <c r="J403" s="652">
        <v>0</v>
      </c>
      <c r="K403" s="652">
        <f t="shared" si="56"/>
        <v>8856</v>
      </c>
      <c r="L403" s="677"/>
      <c r="M403" s="360"/>
    </row>
    <row r="404" spans="1:34" s="425" customFormat="1" ht="13.5" hidden="1" outlineLevel="1" x14ac:dyDescent="0.25">
      <c r="A404" s="724">
        <f t="shared" si="50"/>
        <v>382</v>
      </c>
      <c r="B404" s="608"/>
      <c r="C404" s="678" t="s">
        <v>695</v>
      </c>
      <c r="D404" s="678"/>
      <c r="E404" s="672" t="s">
        <v>0</v>
      </c>
      <c r="F404" s="673">
        <f>F405</f>
        <v>312.05</v>
      </c>
      <c r="G404" s="646">
        <v>0</v>
      </c>
      <c r="H404" s="646">
        <v>5600</v>
      </c>
      <c r="I404" s="646">
        <f>SUM(I405)</f>
        <v>2332573.75</v>
      </c>
      <c r="J404" s="646">
        <f>H404*F404</f>
        <v>1747480</v>
      </c>
      <c r="K404" s="646">
        <f t="shared" si="56"/>
        <v>4080053.75</v>
      </c>
      <c r="L404" s="657"/>
      <c r="M404" s="543"/>
    </row>
    <row r="405" spans="1:34" s="257" customFormat="1" hidden="1" outlineLevel="2" x14ac:dyDescent="0.25">
      <c r="A405" s="724">
        <f t="shared" si="50"/>
        <v>383</v>
      </c>
      <c r="B405" s="363"/>
      <c r="C405" s="658" t="s">
        <v>414</v>
      </c>
      <c r="D405" s="658"/>
      <c r="E405" s="669" t="s">
        <v>0</v>
      </c>
      <c r="F405" s="674">
        <f>25.4+23.91+164+98.74</f>
        <v>312.05</v>
      </c>
      <c r="G405" s="652">
        <v>7475</v>
      </c>
      <c r="H405" s="652">
        <v>0</v>
      </c>
      <c r="I405" s="652">
        <f t="shared" si="55"/>
        <v>2332573.75</v>
      </c>
      <c r="J405" s="652">
        <v>0</v>
      </c>
      <c r="K405" s="652">
        <f t="shared" si="56"/>
        <v>2332573.75</v>
      </c>
      <c r="L405" s="653"/>
      <c r="M405" s="360"/>
    </row>
    <row r="406" spans="1:34" s="426" customFormat="1" ht="13.5" hidden="1" outlineLevel="1" x14ac:dyDescent="0.25">
      <c r="A406" s="724">
        <f t="shared" si="50"/>
        <v>384</v>
      </c>
      <c r="B406" s="618" t="s">
        <v>717</v>
      </c>
      <c r="C406" s="372" t="s">
        <v>1297</v>
      </c>
      <c r="D406" s="372"/>
      <c r="E406" s="633"/>
      <c r="F406" s="624"/>
      <c r="G406" s="588"/>
      <c r="H406" s="588"/>
      <c r="I406" s="588">
        <f>SUMIF(G407:G466,G407,I407:I466)</f>
        <v>45328588.25</v>
      </c>
      <c r="J406" s="588">
        <f>SUMIF(G407:G466,G407,J407:J466)</f>
        <v>16177406.5</v>
      </c>
      <c r="K406" s="588">
        <f>SUMIF(G407:G466,G407,K407:K466)</f>
        <v>61505994.75</v>
      </c>
      <c r="L406" s="407"/>
      <c r="M406" s="259"/>
      <c r="N406" s="425"/>
      <c r="O406" s="425"/>
      <c r="P406" s="425"/>
      <c r="Q406" s="425"/>
      <c r="R406" s="425"/>
      <c r="S406" s="425"/>
      <c r="T406" s="425"/>
      <c r="U406" s="425"/>
      <c r="V406" s="425"/>
      <c r="W406" s="425"/>
      <c r="X406" s="425"/>
      <c r="Y406" s="425"/>
      <c r="Z406" s="425"/>
      <c r="AA406" s="425"/>
      <c r="AB406" s="425"/>
      <c r="AC406" s="425"/>
      <c r="AD406" s="425"/>
      <c r="AE406" s="425"/>
      <c r="AF406" s="425"/>
      <c r="AG406" s="425"/>
      <c r="AH406" s="425"/>
    </row>
    <row r="407" spans="1:34" s="426" customFormat="1" ht="13.5" hidden="1" outlineLevel="2" x14ac:dyDescent="0.25">
      <c r="A407" s="724">
        <f t="shared" si="50"/>
        <v>385</v>
      </c>
      <c r="B407" s="618"/>
      <c r="C407" s="372" t="s">
        <v>479</v>
      </c>
      <c r="D407" s="372"/>
      <c r="E407" s="633"/>
      <c r="F407" s="625"/>
      <c r="G407" s="588"/>
      <c r="H407" s="588"/>
      <c r="I407" s="588">
        <f>SUMIF(G408:G422,G408,I408:I422)</f>
        <v>942226.1</v>
      </c>
      <c r="J407" s="588">
        <f>SUMIF(G408:G422,G408,J408:J422)</f>
        <v>1076553</v>
      </c>
      <c r="K407" s="588">
        <f>SUMIF(G408:G422,G408,K408:K422)</f>
        <v>2018779.1</v>
      </c>
      <c r="L407" s="300"/>
      <c r="M407" s="259"/>
      <c r="N407" s="425"/>
      <c r="O407" s="425"/>
      <c r="P407" s="425"/>
      <c r="Q407" s="425"/>
      <c r="R407" s="425"/>
      <c r="S407" s="425"/>
      <c r="T407" s="425"/>
      <c r="U407" s="425"/>
      <c r="V407" s="425"/>
      <c r="W407" s="425"/>
      <c r="X407" s="425"/>
      <c r="Y407" s="425"/>
      <c r="Z407" s="425"/>
      <c r="AA407" s="425"/>
      <c r="AB407" s="425"/>
      <c r="AC407" s="425"/>
      <c r="AD407" s="425"/>
      <c r="AE407" s="425"/>
      <c r="AF407" s="425"/>
      <c r="AG407" s="425"/>
      <c r="AH407" s="425"/>
    </row>
    <row r="408" spans="1:34" s="425" customFormat="1" ht="13.5" hidden="1" outlineLevel="2" x14ac:dyDescent="0.25">
      <c r="A408" s="724">
        <f t="shared" si="50"/>
        <v>386</v>
      </c>
      <c r="B408" s="608"/>
      <c r="C408" s="337" t="s">
        <v>688</v>
      </c>
      <c r="D408" s="337"/>
      <c r="E408" s="552" t="s">
        <v>0</v>
      </c>
      <c r="F408" s="544">
        <f>F409</f>
        <v>180</v>
      </c>
      <c r="G408" s="584">
        <v>0</v>
      </c>
      <c r="H408" s="584">
        <v>1900</v>
      </c>
      <c r="I408" s="584">
        <f>SUM(I409)</f>
        <v>63000</v>
      </c>
      <c r="J408" s="584">
        <f>H408*F408</f>
        <v>342000</v>
      </c>
      <c r="K408" s="584">
        <f>SUM(I408:J408)</f>
        <v>405000</v>
      </c>
      <c r="L408" s="349"/>
      <c r="M408" s="543"/>
    </row>
    <row r="409" spans="1:34" s="257" customFormat="1" hidden="1" outlineLevel="3" x14ac:dyDescent="0.25">
      <c r="A409" s="724">
        <f t="shared" ref="A409:A472" si="57">A408+1</f>
        <v>387</v>
      </c>
      <c r="B409" s="367"/>
      <c r="C409" s="361" t="s">
        <v>689</v>
      </c>
      <c r="D409" s="361"/>
      <c r="E409" s="551" t="s">
        <v>0</v>
      </c>
      <c r="F409" s="578">
        <v>180</v>
      </c>
      <c r="G409" s="464">
        <v>350</v>
      </c>
      <c r="H409" s="464">
        <v>0</v>
      </c>
      <c r="I409" s="464">
        <f t="shared" ref="I409:I466" si="58">G409*F409</f>
        <v>63000</v>
      </c>
      <c r="J409" s="464">
        <f>H409*F409</f>
        <v>0</v>
      </c>
      <c r="K409" s="464">
        <f t="shared" ref="K409:K466" si="59">SUM(I409:J409)</f>
        <v>63000</v>
      </c>
      <c r="L409" s="299"/>
      <c r="M409" s="360"/>
    </row>
    <row r="410" spans="1:34" s="425" customFormat="1" ht="13.5" hidden="1" outlineLevel="2" x14ac:dyDescent="0.25">
      <c r="A410" s="724">
        <f t="shared" si="57"/>
        <v>388</v>
      </c>
      <c r="B410" s="608"/>
      <c r="C410" s="543" t="s">
        <v>483</v>
      </c>
      <c r="D410" s="543"/>
      <c r="E410" s="552" t="s">
        <v>89</v>
      </c>
      <c r="F410" s="544">
        <f>F411</f>
        <v>101</v>
      </c>
      <c r="G410" s="584">
        <v>0</v>
      </c>
      <c r="H410" s="584">
        <v>405</v>
      </c>
      <c r="I410" s="584">
        <f>SUM(I411:I414)</f>
        <v>18461.099999999999</v>
      </c>
      <c r="J410" s="584">
        <f>H410*F410</f>
        <v>40905</v>
      </c>
      <c r="K410" s="584">
        <f t="shared" si="59"/>
        <v>59366.1</v>
      </c>
      <c r="L410" s="349"/>
      <c r="M410" s="543"/>
    </row>
    <row r="411" spans="1:34" s="257" customFormat="1" hidden="1" outlineLevel="3" x14ac:dyDescent="0.25">
      <c r="A411" s="724">
        <f t="shared" si="57"/>
        <v>389</v>
      </c>
      <c r="B411" s="619"/>
      <c r="C411" s="367" t="s">
        <v>699</v>
      </c>
      <c r="D411" s="367"/>
      <c r="E411" s="551" t="s">
        <v>89</v>
      </c>
      <c r="F411" s="363">
        <v>101</v>
      </c>
      <c r="G411" s="464">
        <v>168.98</v>
      </c>
      <c r="H411" s="464">
        <v>0</v>
      </c>
      <c r="I411" s="464">
        <f t="shared" si="58"/>
        <v>17066.98</v>
      </c>
      <c r="J411" s="464">
        <v>0</v>
      </c>
      <c r="K411" s="464">
        <f t="shared" si="59"/>
        <v>17066.98</v>
      </c>
      <c r="L411" s="299" t="s">
        <v>700</v>
      </c>
      <c r="M411" s="360"/>
    </row>
    <row r="412" spans="1:34" s="257" customFormat="1" hidden="1" outlineLevel="3" x14ac:dyDescent="0.25">
      <c r="A412" s="724">
        <f t="shared" si="57"/>
        <v>390</v>
      </c>
      <c r="B412" s="367"/>
      <c r="C412" s="367" t="s">
        <v>395</v>
      </c>
      <c r="D412" s="367"/>
      <c r="E412" s="551" t="s">
        <v>0</v>
      </c>
      <c r="F412" s="363">
        <v>0.08</v>
      </c>
      <c r="G412" s="464">
        <v>15099</v>
      </c>
      <c r="H412" s="464">
        <v>0</v>
      </c>
      <c r="I412" s="464">
        <f t="shared" si="58"/>
        <v>1207.92</v>
      </c>
      <c r="J412" s="464">
        <v>0</v>
      </c>
      <c r="K412" s="464">
        <f t="shared" si="59"/>
        <v>1207.92</v>
      </c>
      <c r="L412" s="299" t="s">
        <v>698</v>
      </c>
      <c r="M412" s="360"/>
    </row>
    <row r="413" spans="1:34" s="257" customFormat="1" hidden="1" outlineLevel="3" x14ac:dyDescent="0.25">
      <c r="A413" s="724">
        <f t="shared" si="57"/>
        <v>391</v>
      </c>
      <c r="B413" s="367"/>
      <c r="C413" s="367" t="s">
        <v>393</v>
      </c>
      <c r="D413" s="367"/>
      <c r="E413" s="551" t="s">
        <v>390</v>
      </c>
      <c r="F413" s="363">
        <v>7.9</v>
      </c>
      <c r="G413" s="464">
        <v>23</v>
      </c>
      <c r="H413" s="464">
        <v>0</v>
      </c>
      <c r="I413" s="464">
        <f t="shared" si="58"/>
        <v>181.7</v>
      </c>
      <c r="J413" s="464">
        <v>0</v>
      </c>
      <c r="K413" s="464">
        <f t="shared" si="59"/>
        <v>181.7</v>
      </c>
      <c r="L413" s="299" t="s">
        <v>697</v>
      </c>
      <c r="M413" s="360"/>
    </row>
    <row r="414" spans="1:34" s="257" customFormat="1" hidden="1" outlineLevel="3" x14ac:dyDescent="0.25">
      <c r="A414" s="724">
        <f t="shared" si="57"/>
        <v>392</v>
      </c>
      <c r="B414" s="367"/>
      <c r="C414" s="367" t="s">
        <v>485</v>
      </c>
      <c r="D414" s="367"/>
      <c r="E414" s="177" t="s">
        <v>92</v>
      </c>
      <c r="F414" s="363">
        <v>0.01</v>
      </c>
      <c r="G414" s="464">
        <v>450</v>
      </c>
      <c r="H414" s="464">
        <v>0</v>
      </c>
      <c r="I414" s="464">
        <f t="shared" si="58"/>
        <v>4.5</v>
      </c>
      <c r="J414" s="464">
        <v>0</v>
      </c>
      <c r="K414" s="464">
        <f t="shared" si="59"/>
        <v>4.5</v>
      </c>
      <c r="L414" s="299" t="s">
        <v>697</v>
      </c>
      <c r="M414" s="360"/>
    </row>
    <row r="415" spans="1:34" s="425" customFormat="1" ht="13.5" hidden="1" outlineLevel="2" x14ac:dyDescent="0.25">
      <c r="A415" s="724">
        <f t="shared" si="57"/>
        <v>393</v>
      </c>
      <c r="B415" s="608"/>
      <c r="C415" s="529" t="s">
        <v>486</v>
      </c>
      <c r="D415" s="529"/>
      <c r="E415" s="336" t="s">
        <v>33</v>
      </c>
      <c r="F415" s="306">
        <f>SUM(F416:F420)</f>
        <v>7.92</v>
      </c>
      <c r="G415" s="488">
        <v>0</v>
      </c>
      <c r="H415" s="584">
        <v>26900</v>
      </c>
      <c r="I415" s="584">
        <f>SUM(I416:I420)</f>
        <v>457115</v>
      </c>
      <c r="J415" s="584">
        <f>H415*F415</f>
        <v>213048</v>
      </c>
      <c r="K415" s="584">
        <f t="shared" si="59"/>
        <v>670163</v>
      </c>
      <c r="L415" s="349"/>
      <c r="M415" s="543"/>
    </row>
    <row r="416" spans="1:34" s="257" customFormat="1" hidden="1" outlineLevel="3" x14ac:dyDescent="0.25">
      <c r="A416" s="724">
        <f t="shared" si="57"/>
        <v>394</v>
      </c>
      <c r="B416" s="367"/>
      <c r="C416" s="176" t="s">
        <v>459</v>
      </c>
      <c r="D416" s="533"/>
      <c r="E416" s="551" t="s">
        <v>33</v>
      </c>
      <c r="F416" s="539">
        <f>279/1000</f>
        <v>0.28000000000000003</v>
      </c>
      <c r="G416" s="464">
        <v>59450</v>
      </c>
      <c r="H416" s="464">
        <v>0</v>
      </c>
      <c r="I416" s="464">
        <f t="shared" si="58"/>
        <v>16646</v>
      </c>
      <c r="J416" s="464">
        <v>0</v>
      </c>
      <c r="K416" s="464">
        <f t="shared" si="59"/>
        <v>16646</v>
      </c>
      <c r="L416" s="299"/>
      <c r="M416" s="360"/>
    </row>
    <row r="417" spans="1:13" s="257" customFormat="1" hidden="1" outlineLevel="3" x14ac:dyDescent="0.25">
      <c r="A417" s="724">
        <f t="shared" si="57"/>
        <v>395</v>
      </c>
      <c r="B417" s="367"/>
      <c r="C417" s="533" t="s">
        <v>488</v>
      </c>
      <c r="D417" s="533"/>
      <c r="E417" s="551" t="s">
        <v>33</v>
      </c>
      <c r="F417" s="539">
        <f>1447.38/1000</f>
        <v>1.45</v>
      </c>
      <c r="G417" s="464">
        <v>59450</v>
      </c>
      <c r="H417" s="464">
        <v>0</v>
      </c>
      <c r="I417" s="464">
        <f t="shared" si="58"/>
        <v>86202.5</v>
      </c>
      <c r="J417" s="464">
        <v>0</v>
      </c>
      <c r="K417" s="464">
        <f t="shared" si="59"/>
        <v>86202.5</v>
      </c>
      <c r="L417" s="299"/>
      <c r="M417" s="360"/>
    </row>
    <row r="418" spans="1:13" s="257" customFormat="1" hidden="1" outlineLevel="3" x14ac:dyDescent="0.25">
      <c r="A418" s="724">
        <f t="shared" si="57"/>
        <v>396</v>
      </c>
      <c r="B418" s="367"/>
      <c r="C418" s="176" t="s">
        <v>450</v>
      </c>
      <c r="D418" s="533"/>
      <c r="E418" s="551" t="s">
        <v>33</v>
      </c>
      <c r="F418" s="539">
        <f>119/1000</f>
        <v>0.12</v>
      </c>
      <c r="G418" s="464">
        <v>58950</v>
      </c>
      <c r="H418" s="464">
        <v>0</v>
      </c>
      <c r="I418" s="464">
        <f t="shared" si="58"/>
        <v>7074</v>
      </c>
      <c r="J418" s="464">
        <v>0</v>
      </c>
      <c r="K418" s="464">
        <f t="shared" si="59"/>
        <v>7074</v>
      </c>
      <c r="L418" s="299"/>
      <c r="M418" s="360"/>
    </row>
    <row r="419" spans="1:13" s="257" customFormat="1" hidden="1" outlineLevel="3" x14ac:dyDescent="0.25">
      <c r="A419" s="724">
        <f t="shared" si="57"/>
        <v>397</v>
      </c>
      <c r="B419" s="367"/>
      <c r="C419" s="533" t="s">
        <v>426</v>
      </c>
      <c r="D419" s="533"/>
      <c r="E419" s="551" t="s">
        <v>33</v>
      </c>
      <c r="F419" s="539">
        <f>3157.39/1000</f>
        <v>3.16</v>
      </c>
      <c r="G419" s="464">
        <v>58900</v>
      </c>
      <c r="H419" s="464">
        <v>0</v>
      </c>
      <c r="I419" s="464">
        <f t="shared" si="58"/>
        <v>186124</v>
      </c>
      <c r="J419" s="464">
        <v>0</v>
      </c>
      <c r="K419" s="464">
        <f t="shared" si="59"/>
        <v>186124</v>
      </c>
      <c r="L419" s="299"/>
      <c r="M419" s="360"/>
    </row>
    <row r="420" spans="1:13" s="257" customFormat="1" hidden="1" outlineLevel="3" x14ac:dyDescent="0.25">
      <c r="A420" s="724">
        <f t="shared" si="57"/>
        <v>398</v>
      </c>
      <c r="B420" s="367"/>
      <c r="C420" s="533" t="s">
        <v>440</v>
      </c>
      <c r="D420" s="533"/>
      <c r="E420" s="551" t="s">
        <v>33</v>
      </c>
      <c r="F420" s="539">
        <f>2912.16/1000</f>
        <v>2.91</v>
      </c>
      <c r="G420" s="464">
        <v>55350</v>
      </c>
      <c r="H420" s="464">
        <v>0</v>
      </c>
      <c r="I420" s="464">
        <f t="shared" si="58"/>
        <v>161068.5</v>
      </c>
      <c r="J420" s="464">
        <v>0</v>
      </c>
      <c r="K420" s="464">
        <f t="shared" si="59"/>
        <v>161068.5</v>
      </c>
      <c r="L420" s="299"/>
      <c r="M420" s="360"/>
    </row>
    <row r="421" spans="1:13" s="425" customFormat="1" ht="13.5" hidden="1" outlineLevel="2" x14ac:dyDescent="0.25">
      <c r="A421" s="724">
        <f t="shared" si="57"/>
        <v>399</v>
      </c>
      <c r="B421" s="608"/>
      <c r="C421" s="335" t="s">
        <v>489</v>
      </c>
      <c r="D421" s="335"/>
      <c r="E421" s="552" t="s">
        <v>0</v>
      </c>
      <c r="F421" s="548">
        <v>54</v>
      </c>
      <c r="G421" s="584">
        <v>0</v>
      </c>
      <c r="H421" s="584">
        <v>8900</v>
      </c>
      <c r="I421" s="584">
        <f>SUM(I422)</f>
        <v>403650</v>
      </c>
      <c r="J421" s="584">
        <f>H421*F421</f>
        <v>480600</v>
      </c>
      <c r="K421" s="584">
        <f t="shared" si="59"/>
        <v>884250</v>
      </c>
      <c r="L421" s="349"/>
      <c r="M421" s="543"/>
    </row>
    <row r="422" spans="1:13" s="257" customFormat="1" hidden="1" outlineLevel="3" x14ac:dyDescent="0.25">
      <c r="A422" s="724">
        <f t="shared" si="57"/>
        <v>400</v>
      </c>
      <c r="B422" s="367"/>
      <c r="C422" s="193" t="s">
        <v>414</v>
      </c>
      <c r="D422" s="367"/>
      <c r="E422" s="551" t="s">
        <v>0</v>
      </c>
      <c r="F422" s="546">
        <v>54</v>
      </c>
      <c r="G422" s="464">
        <v>7475</v>
      </c>
      <c r="H422" s="464">
        <v>0</v>
      </c>
      <c r="I422" s="464">
        <f t="shared" si="58"/>
        <v>403650</v>
      </c>
      <c r="J422" s="464">
        <v>0</v>
      </c>
      <c r="K422" s="464">
        <f t="shared" si="59"/>
        <v>403650</v>
      </c>
      <c r="L422" s="299"/>
      <c r="M422" s="360"/>
    </row>
    <row r="423" spans="1:13" s="257" customFormat="1" hidden="1" outlineLevel="3" x14ac:dyDescent="0.25">
      <c r="A423" s="724">
        <f t="shared" si="57"/>
        <v>401</v>
      </c>
      <c r="B423" s="634"/>
      <c r="C423" s="372" t="s">
        <v>1295</v>
      </c>
      <c r="D423" s="372"/>
      <c r="E423" s="635"/>
      <c r="F423" s="636"/>
      <c r="G423" s="477"/>
      <c r="H423" s="477"/>
      <c r="I423" s="588">
        <f>SUMIF(G424:G444,G424,I424:I444)</f>
        <v>26464705.899999999</v>
      </c>
      <c r="J423" s="588">
        <f>SUMIF(G424:G444,G424,J424:J444)</f>
        <v>4661116.5</v>
      </c>
      <c r="K423" s="588">
        <f>SUMIF(G424:G444,G424,K424:K444)</f>
        <v>31125822.399999999</v>
      </c>
      <c r="L423" s="295"/>
      <c r="M423" s="360"/>
    </row>
    <row r="424" spans="1:13" s="425" customFormat="1" ht="13.5" hidden="1" outlineLevel="2" x14ac:dyDescent="0.25">
      <c r="A424" s="724">
        <f t="shared" si="57"/>
        <v>402</v>
      </c>
      <c r="B424" s="608"/>
      <c r="C424" s="335" t="s">
        <v>492</v>
      </c>
      <c r="D424" s="335"/>
      <c r="E424" s="552" t="str">
        <f>E427</f>
        <v>пм</v>
      </c>
      <c r="F424" s="544">
        <f>F427</f>
        <v>36.299999999999997</v>
      </c>
      <c r="G424" s="584">
        <v>0</v>
      </c>
      <c r="H424" s="584">
        <v>1725</v>
      </c>
      <c r="I424" s="584">
        <f>SUM(I425:I430)</f>
        <v>87826.85</v>
      </c>
      <c r="J424" s="584">
        <f>H424*F424</f>
        <v>62617.5</v>
      </c>
      <c r="K424" s="584">
        <f t="shared" si="59"/>
        <v>150444.35</v>
      </c>
      <c r="L424" s="349"/>
      <c r="M424" s="543"/>
    </row>
    <row r="425" spans="1:13" s="257" customFormat="1" hidden="1" outlineLevel="3" x14ac:dyDescent="0.25">
      <c r="A425" s="724">
        <f t="shared" si="57"/>
        <v>403</v>
      </c>
      <c r="B425" s="367"/>
      <c r="C425" s="367" t="s">
        <v>493</v>
      </c>
      <c r="D425" s="367"/>
      <c r="E425" s="177" t="s">
        <v>92</v>
      </c>
      <c r="F425" s="546">
        <v>0.1</v>
      </c>
      <c r="G425" s="464">
        <v>445</v>
      </c>
      <c r="H425" s="464">
        <v>0</v>
      </c>
      <c r="I425" s="464">
        <f t="shared" si="58"/>
        <v>44.5</v>
      </c>
      <c r="J425" s="464">
        <v>0</v>
      </c>
      <c r="K425" s="464">
        <f t="shared" si="59"/>
        <v>44.5</v>
      </c>
      <c r="L425" s="299" t="s">
        <v>494</v>
      </c>
      <c r="M425" s="360"/>
    </row>
    <row r="426" spans="1:13" s="257" customFormat="1" hidden="1" outlineLevel="3" x14ac:dyDescent="0.25">
      <c r="A426" s="724">
        <f t="shared" si="57"/>
        <v>404</v>
      </c>
      <c r="B426" s="367"/>
      <c r="C426" s="367" t="s">
        <v>395</v>
      </c>
      <c r="D426" s="367"/>
      <c r="E426" s="551" t="s">
        <v>0</v>
      </c>
      <c r="F426" s="546">
        <v>1.1000000000000001</v>
      </c>
      <c r="G426" s="464">
        <v>15099</v>
      </c>
      <c r="H426" s="464">
        <v>0</v>
      </c>
      <c r="I426" s="464">
        <f t="shared" si="58"/>
        <v>16608.900000000001</v>
      </c>
      <c r="J426" s="464">
        <v>0</v>
      </c>
      <c r="K426" s="464">
        <f t="shared" si="59"/>
        <v>16608.900000000001</v>
      </c>
      <c r="L426" s="299" t="s">
        <v>396</v>
      </c>
      <c r="M426" s="360"/>
    </row>
    <row r="427" spans="1:13" s="257" customFormat="1" hidden="1" outlineLevel="3" x14ac:dyDescent="0.25">
      <c r="A427" s="724">
        <f t="shared" si="57"/>
        <v>405</v>
      </c>
      <c r="B427" s="367"/>
      <c r="C427" s="367" t="s">
        <v>495</v>
      </c>
      <c r="D427" s="367"/>
      <c r="E427" s="551" t="s">
        <v>390</v>
      </c>
      <c r="F427" s="363">
        <v>36.299999999999997</v>
      </c>
      <c r="G427" s="464">
        <v>82.92</v>
      </c>
      <c r="H427" s="464">
        <v>0</v>
      </c>
      <c r="I427" s="464">
        <f t="shared" si="58"/>
        <v>3010</v>
      </c>
      <c r="J427" s="464">
        <v>0</v>
      </c>
      <c r="K427" s="464">
        <f t="shared" si="59"/>
        <v>3010</v>
      </c>
      <c r="L427" s="299" t="s">
        <v>496</v>
      </c>
      <c r="M427" s="360"/>
    </row>
    <row r="428" spans="1:13" s="257" customFormat="1" hidden="1" outlineLevel="3" x14ac:dyDescent="0.25">
      <c r="A428" s="724">
        <f t="shared" si="57"/>
        <v>406</v>
      </c>
      <c r="B428" s="367"/>
      <c r="C428" s="367" t="s">
        <v>497</v>
      </c>
      <c r="D428" s="367"/>
      <c r="E428" s="551" t="s">
        <v>390</v>
      </c>
      <c r="F428" s="363">
        <v>36.299999999999997</v>
      </c>
      <c r="G428" s="464">
        <v>405</v>
      </c>
      <c r="H428" s="464">
        <v>0</v>
      </c>
      <c r="I428" s="464">
        <f t="shared" si="58"/>
        <v>14701.5</v>
      </c>
      <c r="J428" s="464">
        <v>0</v>
      </c>
      <c r="K428" s="464">
        <f t="shared" si="59"/>
        <v>14701.5</v>
      </c>
      <c r="L428" s="299" t="s">
        <v>496</v>
      </c>
      <c r="M428" s="360"/>
    </row>
    <row r="429" spans="1:13" s="257" customFormat="1" hidden="1" outlineLevel="3" x14ac:dyDescent="0.25">
      <c r="A429" s="724">
        <f t="shared" si="57"/>
        <v>407</v>
      </c>
      <c r="B429" s="367"/>
      <c r="C429" s="367" t="s">
        <v>393</v>
      </c>
      <c r="D429" s="367"/>
      <c r="E429" s="551" t="s">
        <v>390</v>
      </c>
      <c r="F429" s="363">
        <v>130.65</v>
      </c>
      <c r="G429" s="464">
        <v>23</v>
      </c>
      <c r="H429" s="464">
        <v>0</v>
      </c>
      <c r="I429" s="464">
        <f t="shared" si="58"/>
        <v>3004.95</v>
      </c>
      <c r="J429" s="464">
        <v>0</v>
      </c>
      <c r="K429" s="464">
        <f t="shared" si="59"/>
        <v>3004.95</v>
      </c>
      <c r="L429" s="299" t="s">
        <v>394</v>
      </c>
      <c r="M429" s="360"/>
    </row>
    <row r="430" spans="1:13" s="257" customFormat="1" hidden="1" outlineLevel="3" x14ac:dyDescent="0.25">
      <c r="A430" s="724">
        <f t="shared" si="57"/>
        <v>408</v>
      </c>
      <c r="B430" s="367"/>
      <c r="C430" s="367" t="s">
        <v>498</v>
      </c>
      <c r="D430" s="367"/>
      <c r="E430" s="551" t="s">
        <v>60</v>
      </c>
      <c r="F430" s="363">
        <v>36.299999999999997</v>
      </c>
      <c r="G430" s="464">
        <v>1390</v>
      </c>
      <c r="H430" s="464">
        <v>0</v>
      </c>
      <c r="I430" s="464">
        <f t="shared" si="58"/>
        <v>50457</v>
      </c>
      <c r="J430" s="464">
        <v>0</v>
      </c>
      <c r="K430" s="464">
        <f t="shared" si="59"/>
        <v>50457</v>
      </c>
      <c r="L430" s="299" t="s">
        <v>499</v>
      </c>
      <c r="M430" s="360"/>
    </row>
    <row r="431" spans="1:13" s="425" customFormat="1" ht="25.5" hidden="1" outlineLevel="2" x14ac:dyDescent="0.25">
      <c r="A431" s="724">
        <f t="shared" si="57"/>
        <v>409</v>
      </c>
      <c r="B431" s="608"/>
      <c r="C431" s="529" t="s">
        <v>684</v>
      </c>
      <c r="D431" s="529"/>
      <c r="E431" s="336" t="s">
        <v>33</v>
      </c>
      <c r="F431" s="306">
        <f>SUM(F432:F442)</f>
        <v>98.71</v>
      </c>
      <c r="G431" s="488">
        <v>0</v>
      </c>
      <c r="H431" s="584">
        <v>26900</v>
      </c>
      <c r="I431" s="584">
        <f>SUM(I432:I442)</f>
        <v>5494716.7000000002</v>
      </c>
      <c r="J431" s="584">
        <f t="shared" ref="J431:J488" si="60">H431*F431</f>
        <v>2655299</v>
      </c>
      <c r="K431" s="584">
        <f>SUM(I431:J431)</f>
        <v>8150015.7000000002</v>
      </c>
      <c r="L431" s="585"/>
      <c r="M431" s="871" t="s">
        <v>625</v>
      </c>
    </row>
    <row r="432" spans="1:13" s="257" customFormat="1" hidden="1" outlineLevel="3" x14ac:dyDescent="0.25">
      <c r="A432" s="724">
        <f t="shared" si="57"/>
        <v>410</v>
      </c>
      <c r="B432" s="616"/>
      <c r="C432" s="176" t="s">
        <v>399</v>
      </c>
      <c r="D432" s="533"/>
      <c r="E432" s="551" t="s">
        <v>33</v>
      </c>
      <c r="F432" s="574">
        <f>84.4/1000</f>
        <v>0.08</v>
      </c>
      <c r="G432" s="464">
        <v>58490</v>
      </c>
      <c r="H432" s="464">
        <v>0</v>
      </c>
      <c r="I432" s="464">
        <f t="shared" si="58"/>
        <v>4679.2</v>
      </c>
      <c r="J432" s="464">
        <v>0</v>
      </c>
      <c r="K432" s="464">
        <f t="shared" si="59"/>
        <v>4679.2</v>
      </c>
      <c r="L432" s="299"/>
      <c r="M432" s="872"/>
    </row>
    <row r="433" spans="1:13" s="257" customFormat="1" hidden="1" outlineLevel="3" x14ac:dyDescent="0.25">
      <c r="A433" s="724">
        <f t="shared" si="57"/>
        <v>411</v>
      </c>
      <c r="B433" s="367"/>
      <c r="C433" s="176" t="s">
        <v>459</v>
      </c>
      <c r="D433" s="533"/>
      <c r="E433" s="551" t="s">
        <v>33</v>
      </c>
      <c r="F433" s="574">
        <f>1147/1000</f>
        <v>1.1499999999999999</v>
      </c>
      <c r="G433" s="464">
        <v>59450</v>
      </c>
      <c r="H433" s="464">
        <v>0</v>
      </c>
      <c r="I433" s="464">
        <f t="shared" si="58"/>
        <v>68367.5</v>
      </c>
      <c r="J433" s="464">
        <v>0</v>
      </c>
      <c r="K433" s="464">
        <f t="shared" si="59"/>
        <v>68367.5</v>
      </c>
      <c r="L433" s="299"/>
      <c r="M433" s="872"/>
    </row>
    <row r="434" spans="1:13" s="257" customFormat="1" hidden="1" outlineLevel="3" x14ac:dyDescent="0.25">
      <c r="A434" s="724">
        <f t="shared" si="57"/>
        <v>412</v>
      </c>
      <c r="B434" s="367"/>
      <c r="C434" s="176" t="s">
        <v>450</v>
      </c>
      <c r="D434" s="533"/>
      <c r="E434" s="551" t="s">
        <v>33</v>
      </c>
      <c r="F434" s="574">
        <f>100/1000</f>
        <v>0.1</v>
      </c>
      <c r="G434" s="464">
        <v>58950</v>
      </c>
      <c r="H434" s="464">
        <v>0</v>
      </c>
      <c r="I434" s="464">
        <f t="shared" si="58"/>
        <v>5895</v>
      </c>
      <c r="J434" s="464">
        <v>0</v>
      </c>
      <c r="K434" s="464">
        <f t="shared" si="59"/>
        <v>5895</v>
      </c>
      <c r="L434" s="299"/>
      <c r="M434" s="872"/>
    </row>
    <row r="435" spans="1:13" s="257" customFormat="1" hidden="1" outlineLevel="3" x14ac:dyDescent="0.25">
      <c r="A435" s="724">
        <f t="shared" si="57"/>
        <v>413</v>
      </c>
      <c r="B435" s="367"/>
      <c r="C435" s="176" t="s">
        <v>401</v>
      </c>
      <c r="D435" s="533"/>
      <c r="E435" s="551" t="s">
        <v>33</v>
      </c>
      <c r="F435" s="574">
        <f>1315.3/1000</f>
        <v>1.32</v>
      </c>
      <c r="G435" s="464">
        <v>58150</v>
      </c>
      <c r="H435" s="464">
        <v>0</v>
      </c>
      <c r="I435" s="464">
        <f t="shared" si="58"/>
        <v>76758</v>
      </c>
      <c r="J435" s="464">
        <v>0</v>
      </c>
      <c r="K435" s="464">
        <f t="shared" si="59"/>
        <v>76758</v>
      </c>
      <c r="L435" s="299"/>
      <c r="M435" s="872"/>
    </row>
    <row r="436" spans="1:13" s="257" customFormat="1" hidden="1" outlineLevel="3" x14ac:dyDescent="0.25">
      <c r="A436" s="724">
        <f t="shared" si="57"/>
        <v>414</v>
      </c>
      <c r="B436" s="367"/>
      <c r="C436" s="533" t="s">
        <v>426</v>
      </c>
      <c r="D436" s="533"/>
      <c r="E436" s="551" t="s">
        <v>33</v>
      </c>
      <c r="F436" s="574">
        <f>3972.6/1000</f>
        <v>3.97</v>
      </c>
      <c r="G436" s="464">
        <v>58900</v>
      </c>
      <c r="H436" s="464">
        <v>0</v>
      </c>
      <c r="I436" s="464">
        <f t="shared" si="58"/>
        <v>233833</v>
      </c>
      <c r="J436" s="464">
        <v>0</v>
      </c>
      <c r="K436" s="464">
        <f t="shared" si="59"/>
        <v>233833</v>
      </c>
      <c r="L436" s="299"/>
      <c r="M436" s="872"/>
    </row>
    <row r="437" spans="1:13" s="257" customFormat="1" hidden="1" outlineLevel="3" x14ac:dyDescent="0.25">
      <c r="A437" s="724">
        <f t="shared" si="57"/>
        <v>415</v>
      </c>
      <c r="B437" s="367"/>
      <c r="C437" s="176" t="s">
        <v>427</v>
      </c>
      <c r="D437" s="533"/>
      <c r="E437" s="551" t="s">
        <v>33</v>
      </c>
      <c r="F437" s="574">
        <f>5889.5/1000</f>
        <v>5.89</v>
      </c>
      <c r="G437" s="464">
        <v>55350</v>
      </c>
      <c r="H437" s="464">
        <v>0</v>
      </c>
      <c r="I437" s="464">
        <f t="shared" si="58"/>
        <v>326011.5</v>
      </c>
      <c r="J437" s="464">
        <v>0</v>
      </c>
      <c r="K437" s="464">
        <f t="shared" si="59"/>
        <v>326011.5</v>
      </c>
      <c r="L437" s="299"/>
      <c r="M437" s="872"/>
    </row>
    <row r="438" spans="1:13" s="257" customFormat="1" hidden="1" outlineLevel="3" x14ac:dyDescent="0.25">
      <c r="A438" s="724">
        <f t="shared" si="57"/>
        <v>416</v>
      </c>
      <c r="B438" s="367"/>
      <c r="C438" s="533" t="s">
        <v>440</v>
      </c>
      <c r="D438" s="533"/>
      <c r="E438" s="551" t="s">
        <v>33</v>
      </c>
      <c r="F438" s="574">
        <f>134/1000</f>
        <v>0.13</v>
      </c>
      <c r="G438" s="464">
        <v>55350</v>
      </c>
      <c r="H438" s="464">
        <v>0</v>
      </c>
      <c r="I438" s="464">
        <f t="shared" si="58"/>
        <v>7195.5</v>
      </c>
      <c r="J438" s="464">
        <v>0</v>
      </c>
      <c r="K438" s="464">
        <f t="shared" si="59"/>
        <v>7195.5</v>
      </c>
      <c r="L438" s="299"/>
      <c r="M438" s="872"/>
    </row>
    <row r="439" spans="1:13" s="257" customFormat="1" hidden="1" outlineLevel="3" x14ac:dyDescent="0.25">
      <c r="A439" s="724">
        <f t="shared" si="57"/>
        <v>417</v>
      </c>
      <c r="B439" s="367"/>
      <c r="C439" s="533" t="s">
        <v>428</v>
      </c>
      <c r="D439" s="533"/>
      <c r="E439" s="551" t="s">
        <v>33</v>
      </c>
      <c r="F439" s="574">
        <f>61594.1/1000</f>
        <v>61.59</v>
      </c>
      <c r="G439" s="464">
        <v>55350</v>
      </c>
      <c r="H439" s="464">
        <v>0</v>
      </c>
      <c r="I439" s="464">
        <f t="shared" si="58"/>
        <v>3409006.5</v>
      </c>
      <c r="J439" s="464">
        <v>0</v>
      </c>
      <c r="K439" s="464">
        <f t="shared" si="59"/>
        <v>3409006.5</v>
      </c>
      <c r="L439" s="299"/>
      <c r="M439" s="872"/>
    </row>
    <row r="440" spans="1:13" s="257" customFormat="1" hidden="1" outlineLevel="3" x14ac:dyDescent="0.25">
      <c r="A440" s="724">
        <f t="shared" si="57"/>
        <v>418</v>
      </c>
      <c r="B440" s="367"/>
      <c r="C440" s="533" t="s">
        <v>429</v>
      </c>
      <c r="D440" s="533"/>
      <c r="E440" s="551" t="s">
        <v>33</v>
      </c>
      <c r="F440" s="574">
        <f>6864/1000</f>
        <v>6.86</v>
      </c>
      <c r="G440" s="464">
        <v>55350</v>
      </c>
      <c r="H440" s="464">
        <v>0</v>
      </c>
      <c r="I440" s="464">
        <f t="shared" si="58"/>
        <v>379701</v>
      </c>
      <c r="J440" s="464">
        <v>0</v>
      </c>
      <c r="K440" s="464">
        <f t="shared" si="59"/>
        <v>379701</v>
      </c>
      <c r="L440" s="299"/>
      <c r="M440" s="872"/>
    </row>
    <row r="441" spans="1:13" s="257" customFormat="1" hidden="1" outlineLevel="3" x14ac:dyDescent="0.25">
      <c r="A441" s="724">
        <f t="shared" si="57"/>
        <v>419</v>
      </c>
      <c r="B441" s="367"/>
      <c r="C441" s="533" t="s">
        <v>430</v>
      </c>
      <c r="D441" s="533"/>
      <c r="E441" s="551" t="s">
        <v>33</v>
      </c>
      <c r="F441" s="574">
        <f>3069.8/1000</f>
        <v>3.07</v>
      </c>
      <c r="G441" s="464">
        <v>55350</v>
      </c>
      <c r="H441" s="464">
        <v>0</v>
      </c>
      <c r="I441" s="464">
        <f t="shared" si="58"/>
        <v>169924.5</v>
      </c>
      <c r="J441" s="464">
        <v>0</v>
      </c>
      <c r="K441" s="464">
        <f t="shared" si="59"/>
        <v>169924.5</v>
      </c>
      <c r="L441" s="299"/>
      <c r="M441" s="872"/>
    </row>
    <row r="442" spans="1:13" s="257" customFormat="1" hidden="1" outlineLevel="3" x14ac:dyDescent="0.25">
      <c r="A442" s="724">
        <f t="shared" si="57"/>
        <v>420</v>
      </c>
      <c r="B442" s="367"/>
      <c r="C442" s="533" t="s">
        <v>431</v>
      </c>
      <c r="D442" s="533"/>
      <c r="E442" s="551" t="s">
        <v>33</v>
      </c>
      <c r="F442" s="574">
        <f>14548.2/1000</f>
        <v>14.55</v>
      </c>
      <c r="G442" s="464">
        <v>55900</v>
      </c>
      <c r="H442" s="464">
        <v>0</v>
      </c>
      <c r="I442" s="464">
        <f t="shared" si="58"/>
        <v>813345</v>
      </c>
      <c r="J442" s="464">
        <v>0</v>
      </c>
      <c r="K442" s="464">
        <f t="shared" si="59"/>
        <v>813345</v>
      </c>
      <c r="L442" s="299"/>
      <c r="M442" s="872"/>
    </row>
    <row r="443" spans="1:13" s="425" customFormat="1" ht="25.5" hidden="1" outlineLevel="2" x14ac:dyDescent="0.25">
      <c r="A443" s="724">
        <f t="shared" si="57"/>
        <v>421</v>
      </c>
      <c r="B443" s="608"/>
      <c r="C443" s="337" t="s">
        <v>702</v>
      </c>
      <c r="D443" s="337"/>
      <c r="E443" s="552" t="s">
        <v>0</v>
      </c>
      <c r="F443" s="548">
        <f>F444</f>
        <v>347</v>
      </c>
      <c r="G443" s="584">
        <v>0</v>
      </c>
      <c r="H443" s="584">
        <v>5600</v>
      </c>
      <c r="I443" s="584">
        <f>SUM(I444:I452)</f>
        <v>20882162.350000001</v>
      </c>
      <c r="J443" s="584">
        <f t="shared" si="60"/>
        <v>1943200</v>
      </c>
      <c r="K443" s="584">
        <f t="shared" si="59"/>
        <v>22825362.350000001</v>
      </c>
      <c r="L443" s="349" t="s">
        <v>503</v>
      </c>
      <c r="M443" s="873"/>
    </row>
    <row r="444" spans="1:13" s="257" customFormat="1" hidden="1" outlineLevel="3" x14ac:dyDescent="0.25">
      <c r="A444" s="724">
        <f t="shared" si="57"/>
        <v>422</v>
      </c>
      <c r="B444" s="367"/>
      <c r="C444" s="193" t="s">
        <v>414</v>
      </c>
      <c r="D444" s="367"/>
      <c r="E444" s="551" t="s">
        <v>0</v>
      </c>
      <c r="F444" s="546">
        <v>347</v>
      </c>
      <c r="G444" s="464">
        <v>7475</v>
      </c>
      <c r="H444" s="464">
        <v>0</v>
      </c>
      <c r="I444" s="464">
        <f t="shared" si="58"/>
        <v>2593825</v>
      </c>
      <c r="J444" s="464">
        <v>0</v>
      </c>
      <c r="K444" s="464">
        <f t="shared" si="59"/>
        <v>2593825</v>
      </c>
      <c r="L444" s="299" t="s">
        <v>491</v>
      </c>
      <c r="M444" s="360"/>
    </row>
    <row r="445" spans="1:13" s="257" customFormat="1" hidden="1" outlineLevel="3" x14ac:dyDescent="0.25">
      <c r="A445" s="724">
        <f t="shared" si="57"/>
        <v>423</v>
      </c>
      <c r="B445" s="634"/>
      <c r="C445" s="372" t="s">
        <v>1296</v>
      </c>
      <c r="D445" s="372"/>
      <c r="E445" s="635"/>
      <c r="F445" s="636"/>
      <c r="G445" s="477"/>
      <c r="H445" s="477"/>
      <c r="I445" s="588">
        <f>SUMIF(G446:G466,G446,I446:I466)</f>
        <v>17921656.25</v>
      </c>
      <c r="J445" s="588">
        <f>SUMIF(G446:G466,G446,J446:J466)</f>
        <v>10439737</v>
      </c>
      <c r="K445" s="588">
        <f>SUMIF(G446:G466,G446,K446:K466)</f>
        <v>28361393.25</v>
      </c>
      <c r="L445" s="295"/>
      <c r="M445" s="360"/>
    </row>
    <row r="446" spans="1:13" s="425" customFormat="1" ht="13.5" hidden="1" outlineLevel="2" x14ac:dyDescent="0.25">
      <c r="A446" s="724">
        <f t="shared" si="57"/>
        <v>424</v>
      </c>
      <c r="B446" s="608"/>
      <c r="C446" s="335" t="s">
        <v>504</v>
      </c>
      <c r="D446" s="335"/>
      <c r="E446" s="552" t="s">
        <v>390</v>
      </c>
      <c r="F446" s="544">
        <f>F449</f>
        <v>74.2</v>
      </c>
      <c r="G446" s="584">
        <v>0</v>
      </c>
      <c r="H446" s="584">
        <v>1725</v>
      </c>
      <c r="I446" s="584">
        <f>SUM(I447:I452)</f>
        <v>183340.55</v>
      </c>
      <c r="J446" s="584">
        <f t="shared" si="60"/>
        <v>127995</v>
      </c>
      <c r="K446" s="584">
        <f t="shared" si="59"/>
        <v>311335.55</v>
      </c>
      <c r="L446" s="585"/>
      <c r="M446" s="543"/>
    </row>
    <row r="447" spans="1:13" s="257" customFormat="1" hidden="1" outlineLevel="3" x14ac:dyDescent="0.25">
      <c r="A447" s="724">
        <f t="shared" si="57"/>
        <v>425</v>
      </c>
      <c r="B447" s="367"/>
      <c r="C447" s="367" t="s">
        <v>493</v>
      </c>
      <c r="D447" s="367"/>
      <c r="E447" s="177" t="s">
        <v>92</v>
      </c>
      <c r="F447" s="546">
        <v>0.2</v>
      </c>
      <c r="G447" s="464">
        <v>445</v>
      </c>
      <c r="H447" s="464">
        <v>0</v>
      </c>
      <c r="I447" s="464">
        <f t="shared" si="58"/>
        <v>89</v>
      </c>
      <c r="J447" s="464">
        <v>0</v>
      </c>
      <c r="K447" s="464">
        <f t="shared" si="59"/>
        <v>89</v>
      </c>
      <c r="L447" s="299" t="s">
        <v>494</v>
      </c>
      <c r="M447" s="360"/>
    </row>
    <row r="448" spans="1:13" s="257" customFormat="1" hidden="1" outlineLevel="3" x14ac:dyDescent="0.25">
      <c r="A448" s="724">
        <f t="shared" si="57"/>
        <v>426</v>
      </c>
      <c r="B448" s="367"/>
      <c r="C448" s="367" t="s">
        <v>395</v>
      </c>
      <c r="D448" s="367"/>
      <c r="E448" s="551" t="s">
        <v>0</v>
      </c>
      <c r="F448" s="546">
        <v>2.5</v>
      </c>
      <c r="G448" s="464">
        <v>15099</v>
      </c>
      <c r="H448" s="464">
        <v>0</v>
      </c>
      <c r="I448" s="464">
        <f t="shared" si="58"/>
        <v>37747.5</v>
      </c>
      <c r="J448" s="464">
        <v>0</v>
      </c>
      <c r="K448" s="464">
        <f t="shared" si="59"/>
        <v>37747.5</v>
      </c>
      <c r="L448" s="299" t="s">
        <v>396</v>
      </c>
      <c r="M448" s="360"/>
    </row>
    <row r="449" spans="1:13" s="257" customFormat="1" hidden="1" outlineLevel="3" x14ac:dyDescent="0.25">
      <c r="A449" s="724">
        <f t="shared" si="57"/>
        <v>427</v>
      </c>
      <c r="B449" s="367"/>
      <c r="C449" s="367" t="s">
        <v>495</v>
      </c>
      <c r="D449" s="367"/>
      <c r="E449" s="551" t="s">
        <v>390</v>
      </c>
      <c r="F449" s="363">
        <v>74.2</v>
      </c>
      <c r="G449" s="464">
        <v>82.92</v>
      </c>
      <c r="H449" s="464">
        <v>0</v>
      </c>
      <c r="I449" s="464">
        <f t="shared" si="58"/>
        <v>6152.66</v>
      </c>
      <c r="J449" s="464">
        <v>0</v>
      </c>
      <c r="K449" s="464">
        <f t="shared" si="59"/>
        <v>6152.66</v>
      </c>
      <c r="L449" s="299" t="s">
        <v>496</v>
      </c>
      <c r="M449" s="360"/>
    </row>
    <row r="450" spans="1:13" s="257" customFormat="1" hidden="1" outlineLevel="3" x14ac:dyDescent="0.25">
      <c r="A450" s="724">
        <f t="shared" si="57"/>
        <v>428</v>
      </c>
      <c r="B450" s="367"/>
      <c r="C450" s="367" t="s">
        <v>497</v>
      </c>
      <c r="D450" s="367"/>
      <c r="E450" s="551" t="s">
        <v>390</v>
      </c>
      <c r="F450" s="363">
        <v>74.2</v>
      </c>
      <c r="G450" s="464">
        <v>405</v>
      </c>
      <c r="H450" s="464">
        <v>0</v>
      </c>
      <c r="I450" s="464">
        <f t="shared" si="58"/>
        <v>30051</v>
      </c>
      <c r="J450" s="464">
        <v>0</v>
      </c>
      <c r="K450" s="464">
        <f t="shared" si="59"/>
        <v>30051</v>
      </c>
      <c r="L450" s="299" t="s">
        <v>496</v>
      </c>
      <c r="M450" s="360"/>
    </row>
    <row r="451" spans="1:13" s="257" customFormat="1" hidden="1" outlineLevel="3" x14ac:dyDescent="0.25">
      <c r="A451" s="724">
        <f t="shared" si="57"/>
        <v>429</v>
      </c>
      <c r="B451" s="367"/>
      <c r="C451" s="367" t="s">
        <v>393</v>
      </c>
      <c r="D451" s="367"/>
      <c r="E451" s="551" t="s">
        <v>390</v>
      </c>
      <c r="F451" s="363">
        <v>267.93</v>
      </c>
      <c r="G451" s="464">
        <v>23</v>
      </c>
      <c r="H451" s="464">
        <v>0</v>
      </c>
      <c r="I451" s="464">
        <f t="shared" si="58"/>
        <v>6162.39</v>
      </c>
      <c r="J451" s="464">
        <v>0</v>
      </c>
      <c r="K451" s="464">
        <f t="shared" si="59"/>
        <v>6162.39</v>
      </c>
      <c r="L451" s="299" t="s">
        <v>394</v>
      </c>
      <c r="M451" s="360"/>
    </row>
    <row r="452" spans="1:13" s="257" customFormat="1" hidden="1" outlineLevel="3" x14ac:dyDescent="0.25">
      <c r="A452" s="724">
        <f t="shared" si="57"/>
        <v>430</v>
      </c>
      <c r="B452" s="367"/>
      <c r="C452" s="367" t="s">
        <v>498</v>
      </c>
      <c r="D452" s="367"/>
      <c r="E452" s="551" t="s">
        <v>60</v>
      </c>
      <c r="F452" s="546">
        <v>74.2</v>
      </c>
      <c r="G452" s="464">
        <v>1390</v>
      </c>
      <c r="H452" s="464">
        <v>0</v>
      </c>
      <c r="I452" s="464">
        <f t="shared" si="58"/>
        <v>103138</v>
      </c>
      <c r="J452" s="464">
        <v>0</v>
      </c>
      <c r="K452" s="464">
        <f t="shared" si="59"/>
        <v>103138</v>
      </c>
      <c r="L452" s="299" t="s">
        <v>499</v>
      </c>
      <c r="M452" s="360"/>
    </row>
    <row r="453" spans="1:13" s="425" customFormat="1" ht="25.5" hidden="1" outlineLevel="2" x14ac:dyDescent="0.25">
      <c r="A453" s="724">
        <f t="shared" si="57"/>
        <v>431</v>
      </c>
      <c r="B453" s="608"/>
      <c r="C453" s="529" t="s">
        <v>505</v>
      </c>
      <c r="D453" s="529"/>
      <c r="E453" s="336" t="s">
        <v>33</v>
      </c>
      <c r="F453" s="306">
        <f>SUM(F454:F464)</f>
        <v>201.18</v>
      </c>
      <c r="G453" s="488">
        <v>0</v>
      </c>
      <c r="H453" s="584">
        <v>26900</v>
      </c>
      <c r="I453" s="584">
        <f>SUM(I454:I464)</f>
        <v>11197690.699999999</v>
      </c>
      <c r="J453" s="584">
        <f t="shared" si="60"/>
        <v>5411742</v>
      </c>
      <c r="K453" s="584">
        <f t="shared" si="59"/>
        <v>16609432.699999999</v>
      </c>
      <c r="L453" s="585"/>
      <c r="M453" s="543"/>
    </row>
    <row r="454" spans="1:13" s="257" customFormat="1" hidden="1" outlineLevel="3" x14ac:dyDescent="0.25">
      <c r="A454" s="724">
        <f t="shared" si="57"/>
        <v>432</v>
      </c>
      <c r="B454" s="616"/>
      <c r="C454" s="176" t="s">
        <v>399</v>
      </c>
      <c r="D454" s="533"/>
      <c r="E454" s="551" t="s">
        <v>33</v>
      </c>
      <c r="F454" s="546">
        <f>176.7/1000</f>
        <v>0.18</v>
      </c>
      <c r="G454" s="464">
        <v>58490</v>
      </c>
      <c r="H454" s="464">
        <v>0</v>
      </c>
      <c r="I454" s="464">
        <f t="shared" si="58"/>
        <v>10528.2</v>
      </c>
      <c r="J454" s="464">
        <v>0</v>
      </c>
      <c r="K454" s="464">
        <f t="shared" si="59"/>
        <v>10528.2</v>
      </c>
      <c r="L454" s="299"/>
      <c r="M454" s="360"/>
    </row>
    <row r="455" spans="1:13" s="257" customFormat="1" hidden="1" outlineLevel="3" x14ac:dyDescent="0.25">
      <c r="A455" s="724">
        <f t="shared" si="57"/>
        <v>433</v>
      </c>
      <c r="B455" s="367"/>
      <c r="C455" s="176" t="s">
        <v>459</v>
      </c>
      <c r="D455" s="533"/>
      <c r="E455" s="551" t="s">
        <v>33</v>
      </c>
      <c r="F455" s="546">
        <f>2981.1/1000</f>
        <v>2.98</v>
      </c>
      <c r="G455" s="464">
        <v>59450</v>
      </c>
      <c r="H455" s="464">
        <v>0</v>
      </c>
      <c r="I455" s="464">
        <f t="shared" si="58"/>
        <v>177161</v>
      </c>
      <c r="J455" s="464">
        <v>0</v>
      </c>
      <c r="K455" s="464">
        <f t="shared" si="59"/>
        <v>177161</v>
      </c>
      <c r="L455" s="299"/>
      <c r="M455" s="360"/>
    </row>
    <row r="456" spans="1:13" s="257" customFormat="1" hidden="1" outlineLevel="3" x14ac:dyDescent="0.25">
      <c r="A456" s="724">
        <f t="shared" si="57"/>
        <v>434</v>
      </c>
      <c r="B456" s="367"/>
      <c r="C456" s="176" t="s">
        <v>450</v>
      </c>
      <c r="D456" s="533"/>
      <c r="E456" s="551" t="s">
        <v>33</v>
      </c>
      <c r="F456" s="546">
        <f>235/1000</f>
        <v>0.24</v>
      </c>
      <c r="G456" s="464">
        <v>58950</v>
      </c>
      <c r="H456" s="464">
        <v>0</v>
      </c>
      <c r="I456" s="464">
        <f t="shared" si="58"/>
        <v>14148</v>
      </c>
      <c r="J456" s="464">
        <v>0</v>
      </c>
      <c r="K456" s="464">
        <f t="shared" si="59"/>
        <v>14148</v>
      </c>
      <c r="L456" s="299"/>
      <c r="M456" s="360"/>
    </row>
    <row r="457" spans="1:13" s="257" customFormat="1" hidden="1" outlineLevel="3" x14ac:dyDescent="0.25">
      <c r="A457" s="724">
        <f t="shared" si="57"/>
        <v>435</v>
      </c>
      <c r="B457" s="367"/>
      <c r="C457" s="176" t="s">
        <v>401</v>
      </c>
      <c r="D457" s="533"/>
      <c r="E457" s="551" t="s">
        <v>33</v>
      </c>
      <c r="F457" s="546">
        <f>2982.8/1000</f>
        <v>2.98</v>
      </c>
      <c r="G457" s="464">
        <v>58150</v>
      </c>
      <c r="H457" s="464">
        <v>0</v>
      </c>
      <c r="I457" s="464">
        <f t="shared" si="58"/>
        <v>173287</v>
      </c>
      <c r="J457" s="464">
        <v>0</v>
      </c>
      <c r="K457" s="464">
        <f t="shared" si="59"/>
        <v>173287</v>
      </c>
      <c r="L457" s="299"/>
      <c r="M457" s="360"/>
    </row>
    <row r="458" spans="1:13" s="257" customFormat="1" hidden="1" outlineLevel="3" x14ac:dyDescent="0.25">
      <c r="A458" s="724">
        <f t="shared" si="57"/>
        <v>436</v>
      </c>
      <c r="B458" s="367"/>
      <c r="C458" s="533" t="s">
        <v>426</v>
      </c>
      <c r="D458" s="533"/>
      <c r="E458" s="551" t="s">
        <v>33</v>
      </c>
      <c r="F458" s="546">
        <f>9788.5/1000</f>
        <v>9.7899999999999991</v>
      </c>
      <c r="G458" s="464">
        <v>58900</v>
      </c>
      <c r="H458" s="464">
        <v>0</v>
      </c>
      <c r="I458" s="464">
        <f t="shared" si="58"/>
        <v>576631</v>
      </c>
      <c r="J458" s="464">
        <v>0</v>
      </c>
      <c r="K458" s="464">
        <f t="shared" si="59"/>
        <v>576631</v>
      </c>
      <c r="L458" s="299"/>
      <c r="M458" s="360"/>
    </row>
    <row r="459" spans="1:13" s="257" customFormat="1" hidden="1" outlineLevel="3" x14ac:dyDescent="0.25">
      <c r="A459" s="724">
        <f t="shared" si="57"/>
        <v>437</v>
      </c>
      <c r="B459" s="367"/>
      <c r="C459" s="176" t="s">
        <v>427</v>
      </c>
      <c r="D459" s="533"/>
      <c r="E459" s="551" t="s">
        <v>33</v>
      </c>
      <c r="F459" s="546">
        <f>12628.6/1000</f>
        <v>12.63</v>
      </c>
      <c r="G459" s="464">
        <v>55350</v>
      </c>
      <c r="H459" s="464">
        <v>0</v>
      </c>
      <c r="I459" s="464">
        <f t="shared" si="58"/>
        <v>699070.5</v>
      </c>
      <c r="J459" s="464">
        <v>0</v>
      </c>
      <c r="K459" s="464">
        <f t="shared" si="59"/>
        <v>699070.5</v>
      </c>
      <c r="L459" s="299"/>
      <c r="M459" s="360"/>
    </row>
    <row r="460" spans="1:13" s="257" customFormat="1" hidden="1" outlineLevel="3" x14ac:dyDescent="0.25">
      <c r="A460" s="724">
        <f t="shared" si="57"/>
        <v>438</v>
      </c>
      <c r="B460" s="367"/>
      <c r="C460" s="533" t="s">
        <v>440</v>
      </c>
      <c r="D460" s="533"/>
      <c r="E460" s="551" t="s">
        <v>33</v>
      </c>
      <c r="F460" s="546">
        <f>499/1000</f>
        <v>0.5</v>
      </c>
      <c r="G460" s="464">
        <v>55350</v>
      </c>
      <c r="H460" s="464">
        <v>0</v>
      </c>
      <c r="I460" s="464">
        <f t="shared" si="58"/>
        <v>27675</v>
      </c>
      <c r="J460" s="464">
        <v>0</v>
      </c>
      <c r="K460" s="464">
        <f t="shared" si="59"/>
        <v>27675</v>
      </c>
      <c r="L460" s="299"/>
      <c r="M460" s="360"/>
    </row>
    <row r="461" spans="1:13" s="257" customFormat="1" hidden="1" outlineLevel="3" x14ac:dyDescent="0.25">
      <c r="A461" s="724">
        <f t="shared" si="57"/>
        <v>439</v>
      </c>
      <c r="B461" s="367"/>
      <c r="C461" s="533" t="s">
        <v>428</v>
      </c>
      <c r="D461" s="533"/>
      <c r="E461" s="551" t="s">
        <v>33</v>
      </c>
      <c r="F461" s="546">
        <f>138085.3/1000</f>
        <v>138.09</v>
      </c>
      <c r="G461" s="464">
        <v>55350</v>
      </c>
      <c r="H461" s="464">
        <v>0</v>
      </c>
      <c r="I461" s="464">
        <f t="shared" si="58"/>
        <v>7643281.5</v>
      </c>
      <c r="J461" s="464">
        <v>0</v>
      </c>
      <c r="K461" s="464">
        <f t="shared" si="59"/>
        <v>7643281.5</v>
      </c>
      <c r="L461" s="299"/>
      <c r="M461" s="360"/>
    </row>
    <row r="462" spans="1:13" s="257" customFormat="1" hidden="1" outlineLevel="3" x14ac:dyDescent="0.25">
      <c r="A462" s="724">
        <f t="shared" si="57"/>
        <v>440</v>
      </c>
      <c r="B462" s="367"/>
      <c r="C462" s="533" t="s">
        <v>429</v>
      </c>
      <c r="D462" s="533"/>
      <c r="E462" s="551" t="s">
        <v>33</v>
      </c>
      <c r="F462" s="546">
        <f>8187.5/1000</f>
        <v>8.19</v>
      </c>
      <c r="G462" s="464">
        <v>55350</v>
      </c>
      <c r="H462" s="464">
        <v>0</v>
      </c>
      <c r="I462" s="464">
        <f t="shared" si="58"/>
        <v>453316.5</v>
      </c>
      <c r="J462" s="464">
        <v>0</v>
      </c>
      <c r="K462" s="464">
        <f t="shared" si="59"/>
        <v>453316.5</v>
      </c>
      <c r="L462" s="299"/>
      <c r="M462" s="360"/>
    </row>
    <row r="463" spans="1:13" s="257" customFormat="1" hidden="1" outlineLevel="3" x14ac:dyDescent="0.25">
      <c r="A463" s="724">
        <f t="shared" si="57"/>
        <v>441</v>
      </c>
      <c r="B463" s="367"/>
      <c r="C463" s="533" t="s">
        <v>430</v>
      </c>
      <c r="D463" s="533"/>
      <c r="E463" s="551" t="s">
        <v>33</v>
      </c>
      <c r="F463" s="539">
        <f>15364.8/1000</f>
        <v>15.36</v>
      </c>
      <c r="G463" s="464">
        <v>55350</v>
      </c>
      <c r="H463" s="464">
        <v>0</v>
      </c>
      <c r="I463" s="464">
        <f t="shared" si="58"/>
        <v>850176</v>
      </c>
      <c r="J463" s="464">
        <v>0</v>
      </c>
      <c r="K463" s="464">
        <f t="shared" si="59"/>
        <v>850176</v>
      </c>
      <c r="L463" s="299"/>
      <c r="M463" s="360"/>
    </row>
    <row r="464" spans="1:13" s="257" customFormat="1" hidden="1" outlineLevel="3" x14ac:dyDescent="0.25">
      <c r="A464" s="724">
        <f t="shared" si="57"/>
        <v>442</v>
      </c>
      <c r="B464" s="367"/>
      <c r="C464" s="533" t="s">
        <v>431</v>
      </c>
      <c r="D464" s="533"/>
      <c r="E464" s="551" t="s">
        <v>33</v>
      </c>
      <c r="F464" s="539">
        <f>10238.4/1000</f>
        <v>10.24</v>
      </c>
      <c r="G464" s="464">
        <v>55900</v>
      </c>
      <c r="H464" s="464">
        <v>0</v>
      </c>
      <c r="I464" s="464">
        <f t="shared" si="58"/>
        <v>572416</v>
      </c>
      <c r="J464" s="464">
        <v>0</v>
      </c>
      <c r="K464" s="464">
        <f t="shared" si="59"/>
        <v>572416</v>
      </c>
      <c r="L464" s="299"/>
      <c r="M464" s="360"/>
    </row>
    <row r="465" spans="1:34" s="425" customFormat="1" ht="27" hidden="1" outlineLevel="2" x14ac:dyDescent="0.25">
      <c r="A465" s="724">
        <f t="shared" si="57"/>
        <v>443</v>
      </c>
      <c r="B465" s="608"/>
      <c r="C465" s="337" t="s">
        <v>506</v>
      </c>
      <c r="D465" s="337"/>
      <c r="E465" s="552" t="s">
        <v>0</v>
      </c>
      <c r="F465" s="548">
        <f>F466</f>
        <v>875</v>
      </c>
      <c r="G465" s="586">
        <v>0</v>
      </c>
      <c r="H465" s="584">
        <v>5600</v>
      </c>
      <c r="I465" s="584">
        <f>I466</f>
        <v>6540625</v>
      </c>
      <c r="J465" s="584">
        <f t="shared" si="60"/>
        <v>4900000</v>
      </c>
      <c r="K465" s="584">
        <f t="shared" si="59"/>
        <v>11440625</v>
      </c>
      <c r="L465" s="587" t="s">
        <v>507</v>
      </c>
      <c r="M465" s="543"/>
    </row>
    <row r="466" spans="1:34" s="257" customFormat="1" hidden="1" outlineLevel="3" x14ac:dyDescent="0.25">
      <c r="A466" s="724">
        <f t="shared" si="57"/>
        <v>444</v>
      </c>
      <c r="B466" s="367"/>
      <c r="C466" s="193" t="s">
        <v>414</v>
      </c>
      <c r="D466" s="367"/>
      <c r="E466" s="551" t="s">
        <v>0</v>
      </c>
      <c r="F466" s="546">
        <v>875</v>
      </c>
      <c r="G466" s="444">
        <v>7475</v>
      </c>
      <c r="H466" s="464">
        <v>0</v>
      </c>
      <c r="I466" s="464">
        <f t="shared" si="58"/>
        <v>6540625</v>
      </c>
      <c r="J466" s="464">
        <v>0</v>
      </c>
      <c r="K466" s="464">
        <f t="shared" si="59"/>
        <v>6540625</v>
      </c>
      <c r="L466" s="299"/>
      <c r="M466" s="360"/>
    </row>
    <row r="467" spans="1:34" s="63" customFormat="1" ht="13.5" collapsed="1" x14ac:dyDescent="0.25">
      <c r="A467" s="724">
        <f t="shared" si="57"/>
        <v>445</v>
      </c>
      <c r="B467" s="602" t="s">
        <v>6</v>
      </c>
      <c r="C467" s="380" t="s">
        <v>727</v>
      </c>
      <c r="D467" s="380"/>
      <c r="E467" s="385" t="str">
        <f>E468</f>
        <v>м2</v>
      </c>
      <c r="F467" s="385" t="str">
        <f>F468</f>
        <v>1845</v>
      </c>
      <c r="G467" s="445">
        <f>SUM(G468:G485)</f>
        <v>240617.98</v>
      </c>
      <c r="H467" s="445">
        <f>SUM(H468:H485)</f>
        <v>3770</v>
      </c>
      <c r="I467" s="445">
        <f>SUM(I468:I485)</f>
        <v>9874643.3100000005</v>
      </c>
      <c r="J467" s="445">
        <f>SUM(J468:J485)</f>
        <v>5379085</v>
      </c>
      <c r="K467" s="445">
        <f>SUM(I467:J467)</f>
        <v>15253728.310000001</v>
      </c>
      <c r="L467" s="382"/>
      <c r="M467" s="65"/>
      <c r="N467" s="338"/>
      <c r="O467" s="338"/>
      <c r="P467" s="338"/>
      <c r="Q467" s="338"/>
      <c r="R467" s="338"/>
      <c r="S467" s="338"/>
      <c r="T467" s="338"/>
      <c r="U467" s="338"/>
      <c r="V467" s="338"/>
      <c r="W467" s="338"/>
      <c r="X467" s="338"/>
      <c r="Y467" s="338"/>
      <c r="Z467" s="338"/>
      <c r="AA467" s="338"/>
      <c r="AB467" s="338"/>
      <c r="AC467" s="338"/>
      <c r="AD467" s="338"/>
      <c r="AE467" s="338"/>
      <c r="AF467" s="338"/>
      <c r="AG467" s="338"/>
      <c r="AH467" s="338"/>
    </row>
    <row r="468" spans="1:34" s="338" customFormat="1" ht="13.5" hidden="1" outlineLevel="1" x14ac:dyDescent="0.25">
      <c r="A468" s="724">
        <f t="shared" si="57"/>
        <v>446</v>
      </c>
      <c r="B468" s="605" t="s">
        <v>16</v>
      </c>
      <c r="C468" s="246" t="s">
        <v>725</v>
      </c>
      <c r="D468" s="246"/>
      <c r="E468" s="247" t="s">
        <v>89</v>
      </c>
      <c r="F468" s="247" t="s">
        <v>512</v>
      </c>
      <c r="G468" s="488"/>
      <c r="H468" s="584">
        <v>765</v>
      </c>
      <c r="I468" s="584">
        <f t="shared" ref="I468:I485" si="61">G468*F468</f>
        <v>0</v>
      </c>
      <c r="J468" s="584">
        <f t="shared" si="60"/>
        <v>1411425</v>
      </c>
      <c r="K468" s="584">
        <f t="shared" ref="K468:K487" si="62">I468+J468</f>
        <v>1411425</v>
      </c>
      <c r="L468" s="349"/>
      <c r="M468" s="337"/>
    </row>
    <row r="469" spans="1:34" s="180" customFormat="1" hidden="1" outlineLevel="2" x14ac:dyDescent="0.25">
      <c r="A469" s="724">
        <f t="shared" si="57"/>
        <v>447</v>
      </c>
      <c r="B469" s="249"/>
      <c r="C469" s="250" t="s">
        <v>726</v>
      </c>
      <c r="D469" s="250"/>
      <c r="E469" s="178" t="s">
        <v>514</v>
      </c>
      <c r="F469" s="178" t="s">
        <v>515</v>
      </c>
      <c r="G469" s="484">
        <v>79566</v>
      </c>
      <c r="H469" s="464">
        <v>0</v>
      </c>
      <c r="I469" s="464">
        <f t="shared" si="61"/>
        <v>5649186</v>
      </c>
      <c r="J469" s="464">
        <f t="shared" si="60"/>
        <v>0</v>
      </c>
      <c r="K469" s="464">
        <f t="shared" si="62"/>
        <v>5649186</v>
      </c>
      <c r="L469" s="299" t="s">
        <v>516</v>
      </c>
      <c r="M469" s="179"/>
    </row>
    <row r="470" spans="1:34" s="338" customFormat="1" ht="13.5" hidden="1" outlineLevel="1" x14ac:dyDescent="0.25">
      <c r="A470" s="724">
        <f t="shared" si="57"/>
        <v>448</v>
      </c>
      <c r="B470" s="605" t="s">
        <v>17</v>
      </c>
      <c r="C470" s="246" t="s">
        <v>686</v>
      </c>
      <c r="D470" s="246"/>
      <c r="E470" s="247" t="s">
        <v>89</v>
      </c>
      <c r="F470" s="247" t="s">
        <v>518</v>
      </c>
      <c r="G470" s="488"/>
      <c r="H470" s="584">
        <v>1100</v>
      </c>
      <c r="I470" s="584">
        <f t="shared" si="61"/>
        <v>0</v>
      </c>
      <c r="J470" s="584">
        <f t="shared" si="60"/>
        <v>2295700</v>
      </c>
      <c r="K470" s="584">
        <f t="shared" si="62"/>
        <v>2295700</v>
      </c>
      <c r="L470" s="349" t="s">
        <v>687</v>
      </c>
      <c r="M470" s="337"/>
    </row>
    <row r="471" spans="1:34" s="180" customFormat="1" hidden="1" outlineLevel="2" x14ac:dyDescent="0.25">
      <c r="A471" s="724">
        <f t="shared" si="57"/>
        <v>449</v>
      </c>
      <c r="B471" s="249"/>
      <c r="C471" s="250" t="s">
        <v>519</v>
      </c>
      <c r="D471" s="250"/>
      <c r="E471" s="178" t="s">
        <v>514</v>
      </c>
      <c r="F471" s="178" t="s">
        <v>51</v>
      </c>
      <c r="G471" s="461">
        <v>73500</v>
      </c>
      <c r="H471" s="464">
        <v>0</v>
      </c>
      <c r="I471" s="464">
        <f t="shared" si="61"/>
        <v>2793000</v>
      </c>
      <c r="J471" s="464">
        <v>0</v>
      </c>
      <c r="K471" s="464">
        <f t="shared" si="62"/>
        <v>2793000</v>
      </c>
      <c r="L471" s="297"/>
      <c r="M471" s="179"/>
    </row>
    <row r="472" spans="1:34" s="338" customFormat="1" ht="13.5" hidden="1" outlineLevel="1" x14ac:dyDescent="0.25">
      <c r="A472" s="724">
        <f t="shared" si="57"/>
        <v>450</v>
      </c>
      <c r="B472" s="605" t="s">
        <v>18</v>
      </c>
      <c r="C472" s="246" t="s">
        <v>520</v>
      </c>
      <c r="D472" s="246"/>
      <c r="E472" s="247" t="s">
        <v>89</v>
      </c>
      <c r="F472" s="247" t="s">
        <v>518</v>
      </c>
      <c r="G472" s="488"/>
      <c r="H472" s="584">
        <v>255</v>
      </c>
      <c r="I472" s="584">
        <f t="shared" si="61"/>
        <v>0</v>
      </c>
      <c r="J472" s="584">
        <f t="shared" si="60"/>
        <v>532185</v>
      </c>
      <c r="K472" s="584">
        <f t="shared" si="62"/>
        <v>532185</v>
      </c>
      <c r="L472" s="349"/>
      <c r="M472" s="337"/>
    </row>
    <row r="473" spans="1:34" s="180" customFormat="1" hidden="1" outlineLevel="2" x14ac:dyDescent="0.25">
      <c r="A473" s="724">
        <f t="shared" ref="A473:A490" si="63">A472+1</f>
        <v>451</v>
      </c>
      <c r="B473" s="249"/>
      <c r="C473" s="250" t="s">
        <v>521</v>
      </c>
      <c r="D473" s="250"/>
      <c r="E473" s="178" t="s">
        <v>514</v>
      </c>
      <c r="F473" s="178" t="s">
        <v>522</v>
      </c>
      <c r="G473" s="484">
        <v>186.33</v>
      </c>
      <c r="H473" s="464">
        <v>0</v>
      </c>
      <c r="I473" s="464">
        <f t="shared" si="61"/>
        <v>4471.92</v>
      </c>
      <c r="J473" s="464">
        <v>0</v>
      </c>
      <c r="K473" s="464">
        <f t="shared" si="62"/>
        <v>4471.92</v>
      </c>
      <c r="L473" s="299" t="s">
        <v>523</v>
      </c>
      <c r="M473" s="179"/>
    </row>
    <row r="474" spans="1:34" s="338" customFormat="1" ht="25.5" hidden="1" outlineLevel="1" x14ac:dyDescent="0.25">
      <c r="A474" s="724">
        <f t="shared" si="63"/>
        <v>452</v>
      </c>
      <c r="B474" s="605" t="s">
        <v>19</v>
      </c>
      <c r="C474" s="246" t="s">
        <v>524</v>
      </c>
      <c r="D474" s="246"/>
      <c r="E474" s="247" t="s">
        <v>60</v>
      </c>
      <c r="F474" s="247">
        <f>F475</f>
        <v>1207</v>
      </c>
      <c r="G474" s="488"/>
      <c r="H474" s="584">
        <f>H126</f>
        <v>120</v>
      </c>
      <c r="I474" s="584">
        <f t="shared" si="61"/>
        <v>0</v>
      </c>
      <c r="J474" s="584">
        <f t="shared" si="60"/>
        <v>144840</v>
      </c>
      <c r="K474" s="584">
        <f t="shared" si="62"/>
        <v>144840</v>
      </c>
      <c r="L474" s="349"/>
      <c r="M474" s="337"/>
    </row>
    <row r="475" spans="1:34" s="180" customFormat="1" hidden="1" outlineLevel="2" x14ac:dyDescent="0.25">
      <c r="A475" s="724">
        <f t="shared" si="63"/>
        <v>453</v>
      </c>
      <c r="B475" s="249"/>
      <c r="C475" s="250" t="s">
        <v>526</v>
      </c>
      <c r="D475" s="250"/>
      <c r="E475" s="178" t="s">
        <v>60</v>
      </c>
      <c r="F475" s="178">
        <v>1207</v>
      </c>
      <c r="G475" s="484">
        <v>138.9</v>
      </c>
      <c r="H475" s="464">
        <v>0</v>
      </c>
      <c r="I475" s="464">
        <f t="shared" si="61"/>
        <v>167652.29999999999</v>
      </c>
      <c r="J475" s="464">
        <f t="shared" si="60"/>
        <v>0</v>
      </c>
      <c r="K475" s="464">
        <f t="shared" si="62"/>
        <v>167652.29999999999</v>
      </c>
      <c r="L475" s="299" t="s">
        <v>527</v>
      </c>
      <c r="M475" s="179"/>
    </row>
    <row r="476" spans="1:34" s="180" customFormat="1" ht="13.5" hidden="1" outlineLevel="1" x14ac:dyDescent="0.25">
      <c r="A476" s="724">
        <f t="shared" si="63"/>
        <v>454</v>
      </c>
      <c r="B476" s="605" t="s">
        <v>20</v>
      </c>
      <c r="C476" s="246" t="s">
        <v>241</v>
      </c>
      <c r="D476" s="246"/>
      <c r="E476" s="247" t="s">
        <v>89</v>
      </c>
      <c r="F476" s="405">
        <v>2103</v>
      </c>
      <c r="G476" s="488"/>
      <c r="H476" s="584">
        <v>405</v>
      </c>
      <c r="I476" s="584">
        <f t="shared" si="61"/>
        <v>0</v>
      </c>
      <c r="J476" s="584">
        <f t="shared" si="60"/>
        <v>851715</v>
      </c>
      <c r="K476" s="584">
        <f t="shared" si="62"/>
        <v>851715</v>
      </c>
      <c r="L476" s="297"/>
      <c r="M476" s="179"/>
    </row>
    <row r="477" spans="1:34" s="180" customFormat="1" hidden="1" outlineLevel="2" x14ac:dyDescent="0.25">
      <c r="A477" s="724">
        <f t="shared" si="63"/>
        <v>455</v>
      </c>
      <c r="B477" s="249"/>
      <c r="C477" s="250" t="s">
        <v>529</v>
      </c>
      <c r="D477" s="250"/>
      <c r="E477" s="178" t="s">
        <v>89</v>
      </c>
      <c r="F477" s="178">
        <v>2313.3000000000002</v>
      </c>
      <c r="G477" s="484">
        <v>168.98</v>
      </c>
      <c r="H477" s="464">
        <v>0</v>
      </c>
      <c r="I477" s="464">
        <f t="shared" si="61"/>
        <v>390901.43</v>
      </c>
      <c r="J477" s="464">
        <f t="shared" si="60"/>
        <v>0</v>
      </c>
      <c r="K477" s="464">
        <f t="shared" si="62"/>
        <v>390901.43</v>
      </c>
      <c r="L477" s="299" t="s">
        <v>530</v>
      </c>
      <c r="M477" s="179"/>
    </row>
    <row r="478" spans="1:34" s="338" customFormat="1" ht="13.5" hidden="1" outlineLevel="1" x14ac:dyDescent="0.25">
      <c r="A478" s="724">
        <f t="shared" si="63"/>
        <v>456</v>
      </c>
      <c r="B478" s="605" t="s">
        <v>308</v>
      </c>
      <c r="C478" s="246" t="s">
        <v>531</v>
      </c>
      <c r="D478" s="246"/>
      <c r="E478" s="247" t="s">
        <v>60</v>
      </c>
      <c r="F478" s="247" t="str">
        <f>F479</f>
        <v>226</v>
      </c>
      <c r="G478" s="488"/>
      <c r="H478" s="584">
        <v>360</v>
      </c>
      <c r="I478" s="584">
        <f t="shared" si="61"/>
        <v>0</v>
      </c>
      <c r="J478" s="584">
        <f t="shared" si="60"/>
        <v>81360</v>
      </c>
      <c r="K478" s="584">
        <f t="shared" si="62"/>
        <v>81360</v>
      </c>
      <c r="L478" s="349"/>
      <c r="M478" s="337"/>
    </row>
    <row r="479" spans="1:34" s="252" customFormat="1" hidden="1" outlineLevel="2" x14ac:dyDescent="0.25">
      <c r="A479" s="724">
        <f t="shared" si="63"/>
        <v>457</v>
      </c>
      <c r="B479" s="249"/>
      <c r="C479" s="250" t="s">
        <v>533</v>
      </c>
      <c r="D479" s="250"/>
      <c r="E479" s="178" t="s">
        <v>60</v>
      </c>
      <c r="F479" s="178" t="s">
        <v>532</v>
      </c>
      <c r="G479" s="484">
        <v>2033.11</v>
      </c>
      <c r="H479" s="464">
        <v>0</v>
      </c>
      <c r="I479" s="464">
        <f t="shared" si="61"/>
        <v>459482.86</v>
      </c>
      <c r="J479" s="464">
        <f t="shared" si="60"/>
        <v>0</v>
      </c>
      <c r="K479" s="464">
        <f t="shared" si="62"/>
        <v>459482.86</v>
      </c>
      <c r="L479" s="299"/>
      <c r="M479" s="193"/>
    </row>
    <row r="480" spans="1:34" s="338" customFormat="1" ht="13.5" hidden="1" outlineLevel="1" x14ac:dyDescent="0.25">
      <c r="A480" s="724">
        <f t="shared" si="63"/>
        <v>458</v>
      </c>
      <c r="B480" s="605" t="s">
        <v>311</v>
      </c>
      <c r="C480" s="246" t="s">
        <v>681</v>
      </c>
      <c r="D480" s="246"/>
      <c r="E480" s="247" t="s">
        <v>60</v>
      </c>
      <c r="F480" s="247">
        <f>F481</f>
        <v>82</v>
      </c>
      <c r="G480" s="680"/>
      <c r="H480" s="584">
        <v>330</v>
      </c>
      <c r="I480" s="584">
        <f t="shared" si="61"/>
        <v>0</v>
      </c>
      <c r="J480" s="584">
        <f t="shared" si="60"/>
        <v>27060</v>
      </c>
      <c r="K480" s="584">
        <f t="shared" si="62"/>
        <v>27060</v>
      </c>
      <c r="L480" s="349" t="s">
        <v>538</v>
      </c>
      <c r="M480" s="337"/>
    </row>
    <row r="481" spans="1:34" s="180" customFormat="1" hidden="1" outlineLevel="2" x14ac:dyDescent="0.25">
      <c r="A481" s="724">
        <f t="shared" si="63"/>
        <v>459</v>
      </c>
      <c r="B481" s="249"/>
      <c r="C481" s="250" t="s">
        <v>540</v>
      </c>
      <c r="D481" s="250"/>
      <c r="E481" s="178" t="s">
        <v>60</v>
      </c>
      <c r="F481" s="178">
        <v>82</v>
      </c>
      <c r="G481" s="461">
        <v>328</v>
      </c>
      <c r="H481" s="464">
        <v>0</v>
      </c>
      <c r="I481" s="464">
        <f t="shared" si="61"/>
        <v>26896</v>
      </c>
      <c r="J481" s="464">
        <f t="shared" si="60"/>
        <v>0</v>
      </c>
      <c r="K481" s="464">
        <f t="shared" si="62"/>
        <v>26896</v>
      </c>
      <c r="L481" s="297" t="s">
        <v>542</v>
      </c>
      <c r="M481" s="179"/>
    </row>
    <row r="482" spans="1:34" s="338" customFormat="1" ht="25.5" hidden="1" outlineLevel="1" x14ac:dyDescent="0.25">
      <c r="A482" s="724">
        <f t="shared" si="63"/>
        <v>460</v>
      </c>
      <c r="B482" s="605" t="s">
        <v>315</v>
      </c>
      <c r="C482" s="246" t="s">
        <v>546</v>
      </c>
      <c r="D482" s="246"/>
      <c r="E482" s="247" t="s">
        <v>60</v>
      </c>
      <c r="F482" s="247">
        <f>F484</f>
        <v>80</v>
      </c>
      <c r="G482" s="488"/>
      <c r="H482" s="488">
        <v>435</v>
      </c>
      <c r="I482" s="584">
        <f t="shared" si="61"/>
        <v>0</v>
      </c>
      <c r="J482" s="584">
        <f t="shared" si="60"/>
        <v>34800</v>
      </c>
      <c r="K482" s="584">
        <f t="shared" si="62"/>
        <v>34800</v>
      </c>
      <c r="L482" s="349"/>
      <c r="M482" s="337"/>
    </row>
    <row r="483" spans="1:34" s="252" customFormat="1" hidden="1" outlineLevel="2" x14ac:dyDescent="0.25">
      <c r="A483" s="724">
        <f t="shared" si="63"/>
        <v>461</v>
      </c>
      <c r="B483" s="249"/>
      <c r="C483" s="250" t="s">
        <v>547</v>
      </c>
      <c r="D483" s="250"/>
      <c r="E483" s="178" t="s">
        <v>92</v>
      </c>
      <c r="F483" s="178" t="s">
        <v>541</v>
      </c>
      <c r="G483" s="484">
        <v>2213.33</v>
      </c>
      <c r="H483" s="464">
        <v>0</v>
      </c>
      <c r="I483" s="464">
        <f t="shared" si="61"/>
        <v>177066.4</v>
      </c>
      <c r="J483" s="464">
        <v>0</v>
      </c>
      <c r="K483" s="464">
        <f t="shared" si="62"/>
        <v>177066.4</v>
      </c>
      <c r="L483" s="299" t="s">
        <v>548</v>
      </c>
      <c r="M483" s="193"/>
    </row>
    <row r="484" spans="1:34" s="252" customFormat="1" hidden="1" outlineLevel="2" x14ac:dyDescent="0.25">
      <c r="A484" s="724">
        <f t="shared" si="63"/>
        <v>462</v>
      </c>
      <c r="B484" s="249"/>
      <c r="C484" s="250" t="s">
        <v>549</v>
      </c>
      <c r="D484" s="250"/>
      <c r="E484" s="178" t="s">
        <v>60</v>
      </c>
      <c r="F484" s="178">
        <v>80</v>
      </c>
      <c r="G484" s="484">
        <v>1563.33</v>
      </c>
      <c r="H484" s="464">
        <v>0</v>
      </c>
      <c r="I484" s="464">
        <f t="shared" si="61"/>
        <v>125066.4</v>
      </c>
      <c r="J484" s="464">
        <v>0</v>
      </c>
      <c r="K484" s="464">
        <f t="shared" si="62"/>
        <v>125066.4</v>
      </c>
      <c r="L484" s="299" t="s">
        <v>550</v>
      </c>
      <c r="M484" s="193"/>
    </row>
    <row r="485" spans="1:34" s="180" customFormat="1" ht="13.5" hidden="1" outlineLevel="1" collapsed="1" x14ac:dyDescent="0.25">
      <c r="A485" s="724">
        <f t="shared" si="63"/>
        <v>463</v>
      </c>
      <c r="B485" s="605" t="s">
        <v>319</v>
      </c>
      <c r="C485" s="246" t="s">
        <v>558</v>
      </c>
      <c r="D485" s="246"/>
      <c r="E485" s="247" t="s">
        <v>54</v>
      </c>
      <c r="F485" s="247" t="s">
        <v>7</v>
      </c>
      <c r="G485" s="488">
        <v>80920</v>
      </c>
      <c r="H485" s="584">
        <v>0</v>
      </c>
      <c r="I485" s="584">
        <f t="shared" si="61"/>
        <v>80920</v>
      </c>
      <c r="J485" s="584">
        <v>0</v>
      </c>
      <c r="K485" s="584">
        <f t="shared" si="62"/>
        <v>80920</v>
      </c>
      <c r="L485" s="297" t="s">
        <v>559</v>
      </c>
      <c r="M485" s="179"/>
    </row>
    <row r="486" spans="1:34" s="63" customFormat="1" ht="25.5" collapsed="1" x14ac:dyDescent="0.25">
      <c r="A486" s="724">
        <f t="shared" si="63"/>
        <v>464</v>
      </c>
      <c r="B486" s="602" t="s">
        <v>98</v>
      </c>
      <c r="C486" s="380" t="s">
        <v>26</v>
      </c>
      <c r="D486" s="380"/>
      <c r="E486" s="385" t="s">
        <v>0</v>
      </c>
      <c r="F486" s="385">
        <f>F487</f>
        <v>2586</v>
      </c>
      <c r="G486" s="445">
        <f>G487</f>
        <v>350</v>
      </c>
      <c r="H486" s="445">
        <v>1900</v>
      </c>
      <c r="I486" s="445">
        <f>I487</f>
        <v>905100</v>
      </c>
      <c r="J486" s="445">
        <f>H486*F486+J487</f>
        <v>4913400</v>
      </c>
      <c r="K486" s="445">
        <f>SUM(I486:J486)</f>
        <v>5818500</v>
      </c>
      <c r="L486" s="382"/>
      <c r="M486" s="65"/>
      <c r="N486" s="338"/>
      <c r="O486" s="338"/>
      <c r="P486" s="338"/>
      <c r="Q486" s="338"/>
      <c r="R486" s="338"/>
      <c r="S486" s="338"/>
      <c r="T486" s="338"/>
      <c r="U486" s="338"/>
      <c r="V486" s="338"/>
      <c r="W486" s="338"/>
      <c r="X486" s="338"/>
      <c r="Y486" s="338"/>
      <c r="Z486" s="338"/>
      <c r="AA486" s="338"/>
      <c r="AB486" s="338"/>
      <c r="AC486" s="338"/>
      <c r="AD486" s="338"/>
      <c r="AE486" s="338"/>
      <c r="AF486" s="338"/>
      <c r="AG486" s="338"/>
      <c r="AH486" s="338"/>
    </row>
    <row r="487" spans="1:34" s="359" customFormat="1" ht="13.5" hidden="1" outlineLevel="1" x14ac:dyDescent="0.25">
      <c r="A487" s="724">
        <f t="shared" si="63"/>
        <v>465</v>
      </c>
      <c r="B487" s="249"/>
      <c r="C487" s="565" t="s">
        <v>116</v>
      </c>
      <c r="D487" s="565"/>
      <c r="E487" s="177" t="s">
        <v>0</v>
      </c>
      <c r="F487" s="183">
        <v>2586</v>
      </c>
      <c r="G487" s="464">
        <v>350</v>
      </c>
      <c r="H487" s="464">
        <v>0</v>
      </c>
      <c r="I487" s="464">
        <f t="shared" ref="I487" si="64">G487*F487</f>
        <v>905100</v>
      </c>
      <c r="J487" s="464">
        <v>0</v>
      </c>
      <c r="K487" s="464">
        <f t="shared" si="62"/>
        <v>905100</v>
      </c>
      <c r="L487" s="299" t="s">
        <v>682</v>
      </c>
      <c r="M487" s="576"/>
    </row>
    <row r="488" spans="1:34" ht="13.5" x14ac:dyDescent="0.25">
      <c r="A488" s="724">
        <f t="shared" si="63"/>
        <v>466</v>
      </c>
      <c r="B488" s="603" t="s">
        <v>46</v>
      </c>
      <c r="C488" s="398" t="s">
        <v>703</v>
      </c>
      <c r="D488" s="398"/>
      <c r="E488" s="631" t="s">
        <v>89</v>
      </c>
      <c r="F488" s="402">
        <f>(2.65*1.75*2)+(1.55*1.85*2)+(1.85*1.55)+(1.85*2.65)</f>
        <v>22.78</v>
      </c>
      <c r="G488" s="446">
        <v>4115</v>
      </c>
      <c r="H488" s="446">
        <v>3500</v>
      </c>
      <c r="I488" s="446">
        <f>F488*G488</f>
        <v>93739.7</v>
      </c>
      <c r="J488" s="458">
        <f t="shared" si="60"/>
        <v>79730</v>
      </c>
      <c r="K488" s="458">
        <f>SUM(I488:J488)</f>
        <v>173469.7</v>
      </c>
      <c r="L488" s="400"/>
      <c r="M488" s="14"/>
    </row>
    <row r="489" spans="1:34" s="180" customFormat="1" x14ac:dyDescent="0.25">
      <c r="A489" s="724">
        <f t="shared" si="63"/>
        <v>467</v>
      </c>
      <c r="B489" s="620"/>
      <c r="C489" s="450" t="s">
        <v>1202</v>
      </c>
      <c r="D489" s="450"/>
      <c r="E489" s="451"/>
      <c r="F489" s="451"/>
      <c r="G489" s="452"/>
      <c r="H489" s="452"/>
      <c r="I489" s="452"/>
      <c r="J489" s="452"/>
      <c r="K489" s="596">
        <f>K22+K99+K319</f>
        <v>354813957.74000001</v>
      </c>
      <c r="L489" s="453"/>
      <c r="M489" s="179"/>
    </row>
    <row r="490" spans="1:34" s="180" customFormat="1" x14ac:dyDescent="0.25">
      <c r="A490" s="724">
        <f t="shared" si="63"/>
        <v>468</v>
      </c>
      <c r="B490" s="621"/>
      <c r="C490" s="130" t="s">
        <v>1203</v>
      </c>
      <c r="D490" s="130"/>
      <c r="E490" s="138"/>
      <c r="F490" s="138"/>
      <c r="G490" s="448"/>
      <c r="H490" s="448"/>
      <c r="I490" s="448"/>
      <c r="J490" s="448"/>
      <c r="K490" s="460">
        <f>K489*20/120</f>
        <v>59135659.619999997</v>
      </c>
      <c r="L490" s="301"/>
      <c r="M490" s="179"/>
    </row>
    <row r="495" spans="1:34" x14ac:dyDescent="0.25">
      <c r="J495" s="455"/>
    </row>
  </sheetData>
  <autoFilter ref="A21:M488" xr:uid="{CC71D7CE-2458-4F43-90C6-68320919D74F}"/>
  <mergeCells count="19">
    <mergeCell ref="M177:M180"/>
    <mergeCell ref="B1:L1"/>
    <mergeCell ref="C2:L2"/>
    <mergeCell ref="B3:L3"/>
    <mergeCell ref="B5:L5"/>
    <mergeCell ref="M26:M34"/>
    <mergeCell ref="M46:M49"/>
    <mergeCell ref="M65:M70"/>
    <mergeCell ref="M74:M75"/>
    <mergeCell ref="M76:M82"/>
    <mergeCell ref="M143:M145"/>
    <mergeCell ref="M146:M148"/>
    <mergeCell ref="M431:M443"/>
    <mergeCell ref="M238:M249"/>
    <mergeCell ref="M262:M273"/>
    <mergeCell ref="M281:M286"/>
    <mergeCell ref="M307:M309"/>
    <mergeCell ref="M346:M356"/>
    <mergeCell ref="M358:M366"/>
  </mergeCells>
  <phoneticPr fontId="3" type="noConversion"/>
  <pageMargins left="0.39370078740157483" right="0.19685039370078741" top="0.39370078740157483" bottom="0.19685039370078741" header="0.51181102362204722" footer="0.15748031496062992"/>
  <pageSetup paperSize="8" scale="73" fitToHeight="8" orientation="landscape" r:id="rId1"/>
  <ignoredErrors>
    <ignoredError sqref="I346 I337 I344 J2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НМЦК- черн- 19.12 (2)</vt:lpstr>
      <vt:lpstr>ВОР на всё (комм. Малев 05.12.)</vt:lpstr>
      <vt:lpstr>ВОР на всё</vt:lpstr>
      <vt:lpstr>арматура</vt:lpstr>
      <vt:lpstr>НМЦК- корр. 28.12.24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2024-12-04T11:53:49Z</cp:lastPrinted>
  <dcterms:created xsi:type="dcterms:W3CDTF">2015-06-05T18:19:34Z</dcterms:created>
  <dcterms:modified xsi:type="dcterms:W3CDTF">2025-02-14T11:35:50Z</dcterms:modified>
</cp:coreProperties>
</file>